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N:\D H G\Rundschreiben\2021\RS 03 2021 03 01 Dünge-Statistik Q4 20\"/>
    </mc:Choice>
  </mc:AlternateContent>
  <xr:revisionPtr revIDLastSave="0" documentId="13_ncr:1_{3715C634-BFD7-4332-8203-AE9E4CA5EB7F}" xr6:coauthVersionLast="46" xr6:coauthVersionMax="46" xr10:uidLastSave="{00000000-0000-0000-0000-000000000000}"/>
  <bookViews>
    <workbookView xWindow="57480" yWindow="-120" windowWidth="38640" windowHeight="21240" tabRatio="759" activeTab="1" xr2:uid="{00000000-000D-0000-FFFF-FFFF00000000}"/>
  </bookViews>
  <sheets>
    <sheet name="Kalk gesamt D" sheetId="16" r:id="rId1"/>
    <sheet name="Daten lfd. CaO Detail" sheetId="1" r:id="rId2"/>
    <sheet name="Grafik Kalk Quartale" sheetId="17" r:id="rId3"/>
    <sheet name="Grafik Kalktyen-Anteile" sheetId="21" r:id="rId4"/>
    <sheet name="Daten Jahre Kalktypen" sheetId="20" r:id="rId5"/>
    <sheet name="Grafik Waldkalkung 2004-2018" sheetId="24" r:id="rId6"/>
    <sheet name="Waldkalkung D 1990-2018 t Ware" sheetId="26" r:id="rId7"/>
    <sheet name="Grafik K-K " sheetId="19" r:id="rId8"/>
    <sheet name="Grafik BK" sheetId="22" r:id="rId9"/>
    <sheet name="Tabelle1" sheetId="25" r:id="rId10"/>
  </sheets>
  <definedNames>
    <definedName name="_xlnm.Print_Area" localSheetId="1">'Daten lfd. CaO Detail'!$A$95:$I$120</definedName>
    <definedName name="_xlnm.Print_Titles" localSheetId="1">'Daten lfd. CaO Detail'!$A:$B,'Daten lfd. CaO Detail'!$1:$5</definedName>
    <definedName name="Eigenkapital">#REF!</definedName>
    <definedName name="Erlöse_gesamt">#REF!</definedName>
    <definedName name="Gesamt">'Daten lfd. CaO Detail'!$C:$C</definedName>
    <definedName name="Gesamtaufwendungen">#REF!</definedName>
    <definedName name="Jahresüberschuß">#REF!</definedName>
    <definedName name="Umlage_DHG">#REF!</definedName>
  </definedNames>
  <calcPr calcId="191029"/>
</workbook>
</file>

<file path=xl/calcChain.xml><?xml version="1.0" encoding="utf-8"?>
<calcChain xmlns="http://schemas.openxmlformats.org/spreadsheetml/2006/main">
  <c r="W220" i="1" l="1"/>
  <c r="V220" i="1"/>
  <c r="U220" i="1"/>
  <c r="T220" i="1"/>
  <c r="S220" i="1"/>
  <c r="R220" i="1"/>
  <c r="Q220" i="1"/>
  <c r="P220" i="1"/>
  <c r="N34" i="20"/>
  <c r="N33" i="20"/>
  <c r="N35" i="20"/>
  <c r="Y9" i="16"/>
  <c r="U11" i="16"/>
  <c r="Y5" i="16" l="1"/>
  <c r="Y4" i="16"/>
  <c r="I220" i="1"/>
  <c r="H220" i="1"/>
  <c r="G220" i="1"/>
  <c r="F220" i="1"/>
  <c r="E220" i="1"/>
  <c r="I199" i="1"/>
  <c r="H199" i="1"/>
  <c r="G199" i="1"/>
  <c r="F199" i="1"/>
  <c r="E199" i="1"/>
  <c r="C198" i="1"/>
  <c r="I180" i="1"/>
  <c r="H180" i="1"/>
  <c r="G180" i="1"/>
  <c r="F180" i="1"/>
  <c r="E180" i="1"/>
  <c r="D180" i="1"/>
  <c r="C180" i="1"/>
  <c r="I160" i="1" l="1"/>
  <c r="H160" i="1"/>
  <c r="G160" i="1"/>
  <c r="F160" i="1"/>
  <c r="E160" i="1"/>
  <c r="W159" i="1"/>
  <c r="S159" i="1"/>
  <c r="R159" i="1"/>
  <c r="Q159" i="1"/>
  <c r="P159" i="1"/>
  <c r="T159" i="1" s="1"/>
  <c r="V159" i="1" s="1"/>
  <c r="C159" i="1"/>
  <c r="W158" i="1"/>
  <c r="S158" i="1"/>
  <c r="R158" i="1"/>
  <c r="Q158" i="1"/>
  <c r="P158" i="1"/>
  <c r="C158" i="1"/>
  <c r="W157" i="1"/>
  <c r="S157" i="1"/>
  <c r="R157" i="1"/>
  <c r="Q157" i="1"/>
  <c r="P157" i="1"/>
  <c r="C157" i="1"/>
  <c r="M157" i="1" s="1"/>
  <c r="W156" i="1"/>
  <c r="S156" i="1"/>
  <c r="R156" i="1"/>
  <c r="Q156" i="1"/>
  <c r="P156" i="1"/>
  <c r="M156" i="1"/>
  <c r="C156" i="1"/>
  <c r="O159" i="1" l="1"/>
  <c r="Y7" i="16"/>
  <c r="N158" i="1"/>
  <c r="C199" i="1"/>
  <c r="Y6" i="16"/>
  <c r="C220" i="1"/>
  <c r="K158" i="1"/>
  <c r="N157" i="1"/>
  <c r="T157" i="1"/>
  <c r="V157" i="1" s="1"/>
  <c r="S160" i="1"/>
  <c r="T156" i="1"/>
  <c r="V156" i="1" s="1"/>
  <c r="V160" i="1" s="1"/>
  <c r="O158" i="1"/>
  <c r="Q160" i="1"/>
  <c r="T158" i="1"/>
  <c r="V158" i="1" s="1"/>
  <c r="R160" i="1"/>
  <c r="W160" i="1"/>
  <c r="D158" i="1"/>
  <c r="C160" i="1"/>
  <c r="O160" i="1" s="1"/>
  <c r="J158" i="1"/>
  <c r="L158" i="1" s="1"/>
  <c r="N156" i="1"/>
  <c r="O157" i="1"/>
  <c r="D159" i="1"/>
  <c r="J159" i="1"/>
  <c r="K159" i="1"/>
  <c r="P160" i="1"/>
  <c r="O156" i="1"/>
  <c r="D157" i="1"/>
  <c r="K157" i="1"/>
  <c r="M159" i="1"/>
  <c r="J157" i="1"/>
  <c r="M158" i="1"/>
  <c r="N159" i="1"/>
  <c r="D156" i="1"/>
  <c r="J156" i="1"/>
  <c r="K156" i="1"/>
  <c r="O32" i="20"/>
  <c r="O31" i="20"/>
  <c r="O30" i="20"/>
  <c r="O29" i="20"/>
  <c r="O28" i="20"/>
  <c r="O27" i="20"/>
  <c r="O26" i="20"/>
  <c r="O25" i="20"/>
  <c r="O24" i="20"/>
  <c r="C24" i="20"/>
  <c r="O23" i="20"/>
  <c r="C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I222" i="1"/>
  <c r="U219" i="1"/>
  <c r="I219" i="1"/>
  <c r="H219" i="1"/>
  <c r="G219" i="1"/>
  <c r="F219" i="1"/>
  <c r="E219" i="1"/>
  <c r="U218" i="1"/>
  <c r="I218" i="1"/>
  <c r="H218" i="1"/>
  <c r="H222" i="1" s="1"/>
  <c r="G218" i="1"/>
  <c r="G222" i="1" s="1"/>
  <c r="F218" i="1"/>
  <c r="E218" i="1"/>
  <c r="E222" i="1" s="1"/>
  <c r="U217" i="1"/>
  <c r="I217" i="1"/>
  <c r="H217" i="1"/>
  <c r="G217" i="1"/>
  <c r="F217" i="1"/>
  <c r="E217" i="1"/>
  <c r="U216" i="1"/>
  <c r="I216" i="1"/>
  <c r="H216" i="1"/>
  <c r="G216" i="1"/>
  <c r="F216" i="1"/>
  <c r="E216" i="1"/>
  <c r="U215" i="1"/>
  <c r="I215" i="1"/>
  <c r="H215" i="1"/>
  <c r="G215" i="1"/>
  <c r="F215" i="1"/>
  <c r="E215" i="1"/>
  <c r="U214" i="1"/>
  <c r="I214" i="1"/>
  <c r="H214" i="1"/>
  <c r="G214" i="1"/>
  <c r="F214" i="1"/>
  <c r="E214" i="1"/>
  <c r="U213" i="1"/>
  <c r="I213" i="1"/>
  <c r="H213" i="1"/>
  <c r="G213" i="1"/>
  <c r="F213" i="1"/>
  <c r="E213" i="1"/>
  <c r="B213" i="1"/>
  <c r="U212" i="1"/>
  <c r="I212" i="1"/>
  <c r="H212" i="1"/>
  <c r="G212" i="1"/>
  <c r="F212" i="1"/>
  <c r="E212" i="1"/>
  <c r="B212" i="1"/>
  <c r="U211" i="1"/>
  <c r="I211" i="1"/>
  <c r="H211" i="1"/>
  <c r="G211" i="1"/>
  <c r="F211" i="1"/>
  <c r="E211" i="1"/>
  <c r="B211" i="1"/>
  <c r="U210" i="1"/>
  <c r="I210" i="1"/>
  <c r="H210" i="1"/>
  <c r="G210" i="1"/>
  <c r="F210" i="1"/>
  <c r="E210" i="1"/>
  <c r="B210" i="1"/>
  <c r="U209" i="1"/>
  <c r="I209" i="1"/>
  <c r="H209" i="1"/>
  <c r="G209" i="1"/>
  <c r="F209" i="1"/>
  <c r="E209" i="1"/>
  <c r="B209" i="1"/>
  <c r="U208" i="1"/>
  <c r="I208" i="1"/>
  <c r="H208" i="1"/>
  <c r="G208" i="1"/>
  <c r="F208" i="1"/>
  <c r="E208" i="1"/>
  <c r="B208" i="1"/>
  <c r="U207" i="1"/>
  <c r="I207" i="1"/>
  <c r="H207" i="1"/>
  <c r="G207" i="1"/>
  <c r="F207" i="1"/>
  <c r="E207" i="1"/>
  <c r="B207" i="1"/>
  <c r="U206" i="1"/>
  <c r="I206" i="1"/>
  <c r="H206" i="1"/>
  <c r="G206" i="1"/>
  <c r="F206" i="1"/>
  <c r="E206" i="1"/>
  <c r="B206" i="1"/>
  <c r="U205" i="1"/>
  <c r="I205" i="1"/>
  <c r="H205" i="1"/>
  <c r="G205" i="1"/>
  <c r="F205" i="1"/>
  <c r="E205" i="1"/>
  <c r="B205" i="1"/>
  <c r="U204" i="1"/>
  <c r="I204" i="1"/>
  <c r="H204" i="1"/>
  <c r="G204" i="1"/>
  <c r="F204" i="1"/>
  <c r="E204" i="1"/>
  <c r="B204" i="1"/>
  <c r="U203" i="1"/>
  <c r="I203" i="1"/>
  <c r="H203" i="1"/>
  <c r="G203" i="1"/>
  <c r="F203" i="1"/>
  <c r="E203" i="1"/>
  <c r="B203" i="1"/>
  <c r="I198" i="1"/>
  <c r="H198" i="1"/>
  <c r="G198" i="1"/>
  <c r="F198" i="1"/>
  <c r="E198" i="1"/>
  <c r="I197" i="1"/>
  <c r="I201" i="1" s="1"/>
  <c r="H197" i="1"/>
  <c r="H201" i="1" s="1"/>
  <c r="G197" i="1"/>
  <c r="G201" i="1" s="1"/>
  <c r="F197" i="1"/>
  <c r="F201" i="1" s="1"/>
  <c r="E197" i="1"/>
  <c r="E201" i="1" s="1"/>
  <c r="I196" i="1"/>
  <c r="H196" i="1"/>
  <c r="G196" i="1"/>
  <c r="F196" i="1"/>
  <c r="E196" i="1"/>
  <c r="I195" i="1"/>
  <c r="H195" i="1"/>
  <c r="G195" i="1"/>
  <c r="F195" i="1"/>
  <c r="E195" i="1"/>
  <c r="I194" i="1"/>
  <c r="H194" i="1"/>
  <c r="G194" i="1"/>
  <c r="F194" i="1"/>
  <c r="E194" i="1"/>
  <c r="I193" i="1"/>
  <c r="H193" i="1"/>
  <c r="G193" i="1"/>
  <c r="F193" i="1"/>
  <c r="E193" i="1"/>
  <c r="I192" i="1"/>
  <c r="H192" i="1"/>
  <c r="G192" i="1"/>
  <c r="F192" i="1"/>
  <c r="E192" i="1"/>
  <c r="I191" i="1"/>
  <c r="H191" i="1"/>
  <c r="G191" i="1"/>
  <c r="F191" i="1"/>
  <c r="E191" i="1"/>
  <c r="I190" i="1"/>
  <c r="H190" i="1"/>
  <c r="G190" i="1"/>
  <c r="F190" i="1"/>
  <c r="E190" i="1"/>
  <c r="I189" i="1"/>
  <c r="H189" i="1"/>
  <c r="G189" i="1"/>
  <c r="F189" i="1"/>
  <c r="E189" i="1"/>
  <c r="I188" i="1"/>
  <c r="H188" i="1"/>
  <c r="G188" i="1"/>
  <c r="F188" i="1"/>
  <c r="E188" i="1"/>
  <c r="I187" i="1"/>
  <c r="H187" i="1"/>
  <c r="G187" i="1"/>
  <c r="F187" i="1"/>
  <c r="E187" i="1"/>
  <c r="I186" i="1"/>
  <c r="H186" i="1"/>
  <c r="G186" i="1"/>
  <c r="F186" i="1"/>
  <c r="E186" i="1"/>
  <c r="I185" i="1"/>
  <c r="H185" i="1"/>
  <c r="G185" i="1"/>
  <c r="F185" i="1"/>
  <c r="E185" i="1"/>
  <c r="I184" i="1"/>
  <c r="H184" i="1"/>
  <c r="G184" i="1"/>
  <c r="F184" i="1"/>
  <c r="E184" i="1"/>
  <c r="I183" i="1"/>
  <c r="H183" i="1"/>
  <c r="G183" i="1"/>
  <c r="F183" i="1"/>
  <c r="E183" i="1"/>
  <c r="I182" i="1"/>
  <c r="H182" i="1"/>
  <c r="G182" i="1"/>
  <c r="F182" i="1"/>
  <c r="E182" i="1"/>
  <c r="I179" i="1"/>
  <c r="H179" i="1"/>
  <c r="G179" i="1"/>
  <c r="F179" i="1"/>
  <c r="E179" i="1"/>
  <c r="C179" i="1"/>
  <c r="I178" i="1"/>
  <c r="H178" i="1"/>
  <c r="G178" i="1"/>
  <c r="F178" i="1"/>
  <c r="E178" i="1"/>
  <c r="I177" i="1"/>
  <c r="H177" i="1"/>
  <c r="G177" i="1"/>
  <c r="F177" i="1"/>
  <c r="E177" i="1"/>
  <c r="I176" i="1"/>
  <c r="H176" i="1"/>
  <c r="G176" i="1"/>
  <c r="F176" i="1"/>
  <c r="E176" i="1"/>
  <c r="I175" i="1"/>
  <c r="H175" i="1"/>
  <c r="G175" i="1"/>
  <c r="F175" i="1"/>
  <c r="E175" i="1"/>
  <c r="I174" i="1"/>
  <c r="H174" i="1"/>
  <c r="G174" i="1"/>
  <c r="F174" i="1"/>
  <c r="E174" i="1"/>
  <c r="I173" i="1"/>
  <c r="H173" i="1"/>
  <c r="G173" i="1"/>
  <c r="F173" i="1"/>
  <c r="E173" i="1"/>
  <c r="I172" i="1"/>
  <c r="H172" i="1"/>
  <c r="G172" i="1"/>
  <c r="F172" i="1"/>
  <c r="E172" i="1"/>
  <c r="I171" i="1"/>
  <c r="H171" i="1"/>
  <c r="G171" i="1"/>
  <c r="F171" i="1"/>
  <c r="E171" i="1"/>
  <c r="I170" i="1"/>
  <c r="H170" i="1"/>
  <c r="G170" i="1"/>
  <c r="F170" i="1"/>
  <c r="E170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I166" i="1"/>
  <c r="H166" i="1"/>
  <c r="G166" i="1"/>
  <c r="F166" i="1"/>
  <c r="E166" i="1"/>
  <c r="I165" i="1"/>
  <c r="H165" i="1"/>
  <c r="G165" i="1"/>
  <c r="F165" i="1"/>
  <c r="E165" i="1"/>
  <c r="I164" i="1"/>
  <c r="H164" i="1"/>
  <c r="G164" i="1"/>
  <c r="F164" i="1"/>
  <c r="E164" i="1"/>
  <c r="I163" i="1"/>
  <c r="H163" i="1"/>
  <c r="G163" i="1"/>
  <c r="F163" i="1"/>
  <c r="E163" i="1"/>
  <c r="I155" i="1"/>
  <c r="H155" i="1"/>
  <c r="G155" i="1"/>
  <c r="F155" i="1"/>
  <c r="E155" i="1"/>
  <c r="W154" i="1"/>
  <c r="S154" i="1"/>
  <c r="R154" i="1"/>
  <c r="Q154" i="1"/>
  <c r="P154" i="1"/>
  <c r="C154" i="1"/>
  <c r="O154" i="1" s="1"/>
  <c r="W153" i="1"/>
  <c r="S153" i="1"/>
  <c r="R153" i="1"/>
  <c r="Q153" i="1"/>
  <c r="P153" i="1"/>
  <c r="T153" i="1" s="1"/>
  <c r="V153" i="1" s="1"/>
  <c r="C153" i="1"/>
  <c r="W152" i="1"/>
  <c r="S152" i="1"/>
  <c r="R152" i="1"/>
  <c r="T152" i="1" s="1"/>
  <c r="V152" i="1" s="1"/>
  <c r="Q152" i="1"/>
  <c r="P152" i="1"/>
  <c r="O152" i="1"/>
  <c r="N152" i="1"/>
  <c r="M152" i="1"/>
  <c r="K152" i="1"/>
  <c r="J152" i="1"/>
  <c r="L152" i="1" s="1"/>
  <c r="C152" i="1"/>
  <c r="D152" i="1" s="1"/>
  <c r="W151" i="1"/>
  <c r="S151" i="1"/>
  <c r="S155" i="1" s="1"/>
  <c r="R151" i="1"/>
  <c r="Q151" i="1"/>
  <c r="P151" i="1"/>
  <c r="P155" i="1" s="1"/>
  <c r="N151" i="1"/>
  <c r="M151" i="1"/>
  <c r="K151" i="1"/>
  <c r="J151" i="1"/>
  <c r="D151" i="1"/>
  <c r="C151" i="1"/>
  <c r="Q150" i="1"/>
  <c r="I150" i="1"/>
  <c r="H150" i="1"/>
  <c r="G150" i="1"/>
  <c r="F150" i="1"/>
  <c r="E150" i="1"/>
  <c r="W149" i="1"/>
  <c r="W150" i="1" s="1"/>
  <c r="S149" i="1"/>
  <c r="R149" i="1"/>
  <c r="Q149" i="1"/>
  <c r="P149" i="1"/>
  <c r="O149" i="1"/>
  <c r="N149" i="1"/>
  <c r="M149" i="1"/>
  <c r="K149" i="1"/>
  <c r="J149" i="1"/>
  <c r="C149" i="1"/>
  <c r="D149" i="1" s="1"/>
  <c r="W148" i="1"/>
  <c r="S148" i="1"/>
  <c r="R148" i="1"/>
  <c r="Q148" i="1"/>
  <c r="T148" i="1" s="1"/>
  <c r="V148" i="1" s="1"/>
  <c r="P148" i="1"/>
  <c r="N148" i="1"/>
  <c r="M148" i="1"/>
  <c r="K148" i="1"/>
  <c r="J148" i="1"/>
  <c r="D148" i="1"/>
  <c r="C148" i="1"/>
  <c r="O148" i="1" s="1"/>
  <c r="W147" i="1"/>
  <c r="S147" i="1"/>
  <c r="R147" i="1"/>
  <c r="Q147" i="1"/>
  <c r="P147" i="1"/>
  <c r="T147" i="1" s="1"/>
  <c r="V147" i="1" s="1"/>
  <c r="M147" i="1"/>
  <c r="C147" i="1"/>
  <c r="W146" i="1"/>
  <c r="S146" i="1"/>
  <c r="R146" i="1"/>
  <c r="R150" i="1" s="1"/>
  <c r="Q146" i="1"/>
  <c r="P146" i="1"/>
  <c r="C146" i="1"/>
  <c r="I145" i="1"/>
  <c r="H145" i="1"/>
  <c r="G145" i="1"/>
  <c r="F145" i="1"/>
  <c r="E145" i="1"/>
  <c r="W144" i="1"/>
  <c r="S144" i="1"/>
  <c r="R144" i="1"/>
  <c r="Q144" i="1"/>
  <c r="P144" i="1"/>
  <c r="D144" i="1"/>
  <c r="C144" i="1"/>
  <c r="W143" i="1"/>
  <c r="S143" i="1"/>
  <c r="R143" i="1"/>
  <c r="Q143" i="1"/>
  <c r="P143" i="1"/>
  <c r="T143" i="1" s="1"/>
  <c r="V143" i="1" s="1"/>
  <c r="O143" i="1"/>
  <c r="C143" i="1"/>
  <c r="W142" i="1"/>
  <c r="S142" i="1"/>
  <c r="R142" i="1"/>
  <c r="Q142" i="1"/>
  <c r="Q145" i="1" s="1"/>
  <c r="P142" i="1"/>
  <c r="C142" i="1"/>
  <c r="W141" i="1"/>
  <c r="S141" i="1"/>
  <c r="R141" i="1"/>
  <c r="Q141" i="1"/>
  <c r="P141" i="1"/>
  <c r="O141" i="1"/>
  <c r="N141" i="1"/>
  <c r="M141" i="1"/>
  <c r="D141" i="1"/>
  <c r="C141" i="1"/>
  <c r="W140" i="1"/>
  <c r="I140" i="1"/>
  <c r="H140" i="1"/>
  <c r="G140" i="1"/>
  <c r="F140" i="1"/>
  <c r="E140" i="1"/>
  <c r="W139" i="1"/>
  <c r="S139" i="1"/>
  <c r="R139" i="1"/>
  <c r="Q139" i="1"/>
  <c r="P139" i="1"/>
  <c r="O139" i="1"/>
  <c r="N139" i="1"/>
  <c r="C139" i="1"/>
  <c r="M139" i="1" s="1"/>
  <c r="W138" i="1"/>
  <c r="S138" i="1"/>
  <c r="R138" i="1"/>
  <c r="R140" i="1" s="1"/>
  <c r="Q138" i="1"/>
  <c r="P138" i="1"/>
  <c r="C138" i="1"/>
  <c r="W137" i="1"/>
  <c r="S137" i="1"/>
  <c r="R137" i="1"/>
  <c r="Q137" i="1"/>
  <c r="P137" i="1"/>
  <c r="T137" i="1" s="1"/>
  <c r="V137" i="1" s="1"/>
  <c r="O137" i="1"/>
  <c r="M137" i="1"/>
  <c r="D137" i="1"/>
  <c r="C137" i="1"/>
  <c r="W136" i="1"/>
  <c r="W216" i="1" s="1"/>
  <c r="T136" i="1"/>
  <c r="S136" i="1"/>
  <c r="S140" i="1" s="1"/>
  <c r="R136" i="1"/>
  <c r="Q136" i="1"/>
  <c r="P136" i="1"/>
  <c r="N136" i="1"/>
  <c r="M136" i="1"/>
  <c r="C136" i="1"/>
  <c r="O136" i="1" s="1"/>
  <c r="K135" i="1"/>
  <c r="I135" i="1"/>
  <c r="H135" i="1"/>
  <c r="G135" i="1"/>
  <c r="F135" i="1"/>
  <c r="E135" i="1"/>
  <c r="D135" i="1"/>
  <c r="C135" i="1"/>
  <c r="W134" i="1"/>
  <c r="S134" i="1"/>
  <c r="R134" i="1"/>
  <c r="Q134" i="1"/>
  <c r="P134" i="1"/>
  <c r="T134" i="1" s="1"/>
  <c r="V134" i="1" s="1"/>
  <c r="O134" i="1"/>
  <c r="M134" i="1"/>
  <c r="D134" i="1"/>
  <c r="C134" i="1"/>
  <c r="W133" i="1"/>
  <c r="V133" i="1"/>
  <c r="T133" i="1"/>
  <c r="S133" i="1"/>
  <c r="R133" i="1"/>
  <c r="Q133" i="1"/>
  <c r="P133" i="1"/>
  <c r="P135" i="1" s="1"/>
  <c r="N133" i="1"/>
  <c r="M133" i="1"/>
  <c r="C133" i="1"/>
  <c r="O133" i="1" s="1"/>
  <c r="W132" i="1"/>
  <c r="S132" i="1"/>
  <c r="R132" i="1"/>
  <c r="T132" i="1" s="1"/>
  <c r="V132" i="1" s="1"/>
  <c r="Q132" i="1"/>
  <c r="P132" i="1"/>
  <c r="O132" i="1"/>
  <c r="N132" i="1"/>
  <c r="M132" i="1"/>
  <c r="K132" i="1"/>
  <c r="J132" i="1"/>
  <c r="C132" i="1"/>
  <c r="D132" i="1" s="1"/>
  <c r="W131" i="1"/>
  <c r="S131" i="1"/>
  <c r="S215" i="1" s="1"/>
  <c r="R131" i="1"/>
  <c r="R135" i="1" s="1"/>
  <c r="Q131" i="1"/>
  <c r="Q215" i="1" s="1"/>
  <c r="P131" i="1"/>
  <c r="N131" i="1"/>
  <c r="M131" i="1"/>
  <c r="K131" i="1"/>
  <c r="J131" i="1"/>
  <c r="L131" i="1" s="1"/>
  <c r="D131" i="1"/>
  <c r="C131" i="1"/>
  <c r="C194" i="1" s="1"/>
  <c r="P130" i="1"/>
  <c r="I130" i="1"/>
  <c r="H130" i="1"/>
  <c r="G130" i="1"/>
  <c r="F130" i="1"/>
  <c r="E130" i="1"/>
  <c r="W129" i="1"/>
  <c r="S129" i="1"/>
  <c r="R129" i="1"/>
  <c r="T129" i="1" s="1"/>
  <c r="V129" i="1" s="1"/>
  <c r="Q129" i="1"/>
  <c r="P129" i="1"/>
  <c r="O129" i="1"/>
  <c r="N129" i="1"/>
  <c r="M129" i="1"/>
  <c r="K129" i="1"/>
  <c r="J129" i="1"/>
  <c r="L129" i="1" s="1"/>
  <c r="D129" i="1"/>
  <c r="C129" i="1"/>
  <c r="W128" i="1"/>
  <c r="W130" i="1" s="1"/>
  <c r="S128" i="1"/>
  <c r="R128" i="1"/>
  <c r="Q128" i="1"/>
  <c r="P128" i="1"/>
  <c r="N128" i="1"/>
  <c r="M128" i="1"/>
  <c r="K128" i="1"/>
  <c r="J128" i="1"/>
  <c r="D128" i="1"/>
  <c r="C128" i="1"/>
  <c r="O128" i="1" s="1"/>
  <c r="W127" i="1"/>
  <c r="S127" i="1"/>
  <c r="R127" i="1"/>
  <c r="Q127" i="1"/>
  <c r="P127" i="1"/>
  <c r="T127" i="1" s="1"/>
  <c r="V127" i="1" s="1"/>
  <c r="M127" i="1"/>
  <c r="C127" i="1"/>
  <c r="W126" i="1"/>
  <c r="S126" i="1"/>
  <c r="R126" i="1"/>
  <c r="Q126" i="1"/>
  <c r="P126" i="1"/>
  <c r="C126" i="1"/>
  <c r="Q125" i="1"/>
  <c r="I125" i="1"/>
  <c r="H125" i="1"/>
  <c r="G125" i="1"/>
  <c r="F125" i="1"/>
  <c r="E125" i="1"/>
  <c r="W124" i="1"/>
  <c r="S124" i="1"/>
  <c r="R124" i="1"/>
  <c r="Q124" i="1"/>
  <c r="P124" i="1"/>
  <c r="C124" i="1"/>
  <c r="W123" i="1"/>
  <c r="S123" i="1"/>
  <c r="R123" i="1"/>
  <c r="Q123" i="1"/>
  <c r="P123" i="1"/>
  <c r="T123" i="1" s="1"/>
  <c r="V123" i="1" s="1"/>
  <c r="O123" i="1"/>
  <c r="C123" i="1"/>
  <c r="W122" i="1"/>
  <c r="S122" i="1"/>
  <c r="R122" i="1"/>
  <c r="Q122" i="1"/>
  <c r="P122" i="1"/>
  <c r="C122" i="1"/>
  <c r="W121" i="1"/>
  <c r="S121" i="1"/>
  <c r="R121" i="1"/>
  <c r="Q121" i="1"/>
  <c r="P121" i="1"/>
  <c r="O121" i="1"/>
  <c r="N121" i="1"/>
  <c r="M121" i="1"/>
  <c r="D121" i="1"/>
  <c r="C121" i="1"/>
  <c r="W120" i="1"/>
  <c r="P120" i="1"/>
  <c r="I120" i="1"/>
  <c r="H120" i="1"/>
  <c r="G120" i="1"/>
  <c r="F120" i="1"/>
  <c r="E120" i="1"/>
  <c r="W119" i="1"/>
  <c r="T119" i="1"/>
  <c r="V119" i="1" s="1"/>
  <c r="S119" i="1"/>
  <c r="R119" i="1"/>
  <c r="Q119" i="1"/>
  <c r="P119" i="1"/>
  <c r="O119" i="1"/>
  <c r="M119" i="1"/>
  <c r="K119" i="1"/>
  <c r="D119" i="1"/>
  <c r="C119" i="1"/>
  <c r="J119" i="1" s="1"/>
  <c r="W118" i="1"/>
  <c r="S118" i="1"/>
  <c r="R118" i="1"/>
  <c r="Q118" i="1"/>
  <c r="P118" i="1"/>
  <c r="N118" i="1"/>
  <c r="K118" i="1"/>
  <c r="J118" i="1"/>
  <c r="C118" i="1"/>
  <c r="D118" i="1" s="1"/>
  <c r="W117" i="1"/>
  <c r="S117" i="1"/>
  <c r="R117" i="1"/>
  <c r="Q117" i="1"/>
  <c r="T117" i="1" s="1"/>
  <c r="V117" i="1" s="1"/>
  <c r="P117" i="1"/>
  <c r="O117" i="1"/>
  <c r="N117" i="1"/>
  <c r="M117" i="1"/>
  <c r="K117" i="1"/>
  <c r="J117" i="1"/>
  <c r="D117" i="1"/>
  <c r="C117" i="1"/>
  <c r="W116" i="1"/>
  <c r="S116" i="1"/>
  <c r="R116" i="1"/>
  <c r="Q116" i="1"/>
  <c r="P116" i="1"/>
  <c r="D116" i="1"/>
  <c r="C116" i="1"/>
  <c r="I115" i="1"/>
  <c r="H115" i="1"/>
  <c r="G115" i="1"/>
  <c r="F115" i="1"/>
  <c r="E115" i="1"/>
  <c r="W114" i="1"/>
  <c r="S114" i="1"/>
  <c r="R114" i="1"/>
  <c r="Q114" i="1"/>
  <c r="P114" i="1"/>
  <c r="T114" i="1" s="1"/>
  <c r="V114" i="1" s="1"/>
  <c r="O114" i="1"/>
  <c r="M114" i="1"/>
  <c r="K114" i="1"/>
  <c r="J114" i="1"/>
  <c r="D114" i="1"/>
  <c r="C114" i="1"/>
  <c r="N114" i="1" s="1"/>
  <c r="W113" i="1"/>
  <c r="S113" i="1"/>
  <c r="R113" i="1"/>
  <c r="Q113" i="1"/>
  <c r="P113" i="1"/>
  <c r="T113" i="1" s="1"/>
  <c r="V113" i="1" s="1"/>
  <c r="D113" i="1"/>
  <c r="C113" i="1"/>
  <c r="W112" i="1"/>
  <c r="S112" i="1"/>
  <c r="S115" i="1" s="1"/>
  <c r="R112" i="1"/>
  <c r="Q112" i="1"/>
  <c r="P112" i="1"/>
  <c r="T112" i="1" s="1"/>
  <c r="V112" i="1" s="1"/>
  <c r="C112" i="1"/>
  <c r="W111" i="1"/>
  <c r="S111" i="1"/>
  <c r="R111" i="1"/>
  <c r="Q111" i="1"/>
  <c r="P111" i="1"/>
  <c r="T111" i="1" s="1"/>
  <c r="O111" i="1"/>
  <c r="N111" i="1"/>
  <c r="J111" i="1"/>
  <c r="C111" i="1"/>
  <c r="S110" i="1"/>
  <c r="I110" i="1"/>
  <c r="H110" i="1"/>
  <c r="G110" i="1"/>
  <c r="F110" i="1"/>
  <c r="E110" i="1"/>
  <c r="W109" i="1"/>
  <c r="S109" i="1"/>
  <c r="R109" i="1"/>
  <c r="Q109" i="1"/>
  <c r="P109" i="1"/>
  <c r="T109" i="1" s="1"/>
  <c r="V109" i="1" s="1"/>
  <c r="C109" i="1"/>
  <c r="W108" i="1"/>
  <c r="S108" i="1"/>
  <c r="R108" i="1"/>
  <c r="Q108" i="1"/>
  <c r="P108" i="1"/>
  <c r="T108" i="1" s="1"/>
  <c r="O108" i="1"/>
  <c r="N108" i="1"/>
  <c r="J108" i="1"/>
  <c r="C108" i="1"/>
  <c r="M108" i="1" s="1"/>
  <c r="W107" i="1"/>
  <c r="W110" i="1" s="1"/>
  <c r="V107" i="1"/>
  <c r="S107" i="1"/>
  <c r="R107" i="1"/>
  <c r="Q107" i="1"/>
  <c r="P107" i="1"/>
  <c r="T107" i="1" s="1"/>
  <c r="O107" i="1"/>
  <c r="N107" i="1"/>
  <c r="M107" i="1"/>
  <c r="K107" i="1"/>
  <c r="D107" i="1"/>
  <c r="C107" i="1"/>
  <c r="J107" i="1" s="1"/>
  <c r="W106" i="1"/>
  <c r="S106" i="1"/>
  <c r="R106" i="1"/>
  <c r="Q106" i="1"/>
  <c r="P106" i="1"/>
  <c r="C106" i="1"/>
  <c r="C110" i="1" s="1"/>
  <c r="R105" i="1"/>
  <c r="I105" i="1"/>
  <c r="H105" i="1"/>
  <c r="G105" i="1"/>
  <c r="F105" i="1"/>
  <c r="E105" i="1"/>
  <c r="W104" i="1"/>
  <c r="S104" i="1"/>
  <c r="R104" i="1"/>
  <c r="Q104" i="1"/>
  <c r="P104" i="1"/>
  <c r="O104" i="1"/>
  <c r="N104" i="1"/>
  <c r="M104" i="1"/>
  <c r="K104" i="1"/>
  <c r="D104" i="1"/>
  <c r="C104" i="1"/>
  <c r="J104" i="1" s="1"/>
  <c r="W103" i="1"/>
  <c r="S103" i="1"/>
  <c r="R103" i="1"/>
  <c r="Q103" i="1"/>
  <c r="P103" i="1"/>
  <c r="T103" i="1" s="1"/>
  <c r="V103" i="1" s="1"/>
  <c r="M103" i="1"/>
  <c r="C103" i="1"/>
  <c r="W102" i="1"/>
  <c r="S102" i="1"/>
  <c r="T102" i="1" s="1"/>
  <c r="V102" i="1" s="1"/>
  <c r="R102" i="1"/>
  <c r="Q102" i="1"/>
  <c r="P102" i="1"/>
  <c r="O102" i="1"/>
  <c r="N102" i="1"/>
  <c r="M102" i="1"/>
  <c r="K102" i="1"/>
  <c r="J102" i="1"/>
  <c r="D102" i="1"/>
  <c r="W101" i="1"/>
  <c r="S101" i="1"/>
  <c r="R101" i="1"/>
  <c r="R209" i="1" s="1"/>
  <c r="Q101" i="1"/>
  <c r="P101" i="1"/>
  <c r="P105" i="1" s="1"/>
  <c r="O101" i="1"/>
  <c r="N101" i="1"/>
  <c r="M101" i="1"/>
  <c r="K101" i="1"/>
  <c r="J101" i="1"/>
  <c r="D101" i="1"/>
  <c r="C101" i="1"/>
  <c r="P100" i="1"/>
  <c r="J100" i="1"/>
  <c r="I100" i="1"/>
  <c r="H100" i="1"/>
  <c r="G100" i="1"/>
  <c r="F100" i="1"/>
  <c r="E100" i="1"/>
  <c r="W99" i="1"/>
  <c r="S99" i="1"/>
  <c r="R99" i="1"/>
  <c r="T99" i="1" s="1"/>
  <c r="V99" i="1" s="1"/>
  <c r="Q99" i="1"/>
  <c r="P99" i="1"/>
  <c r="C99" i="1"/>
  <c r="D99" i="1" s="1"/>
  <c r="W98" i="1"/>
  <c r="T98" i="1"/>
  <c r="V98" i="1" s="1"/>
  <c r="S98" i="1"/>
  <c r="R98" i="1"/>
  <c r="Q98" i="1"/>
  <c r="P98" i="1"/>
  <c r="O98" i="1"/>
  <c r="M98" i="1"/>
  <c r="K98" i="1"/>
  <c r="C98" i="1"/>
  <c r="J98" i="1" s="1"/>
  <c r="W97" i="1"/>
  <c r="W100" i="1" s="1"/>
  <c r="S97" i="1"/>
  <c r="R97" i="1"/>
  <c r="Q97" i="1"/>
  <c r="P97" i="1"/>
  <c r="N97" i="1"/>
  <c r="K97" i="1"/>
  <c r="J97" i="1"/>
  <c r="L97" i="1" s="1"/>
  <c r="C97" i="1"/>
  <c r="D97" i="1" s="1"/>
  <c r="W96" i="1"/>
  <c r="S96" i="1"/>
  <c r="R96" i="1"/>
  <c r="Q96" i="1"/>
  <c r="P96" i="1"/>
  <c r="P208" i="1" s="1"/>
  <c r="O96" i="1"/>
  <c r="N96" i="1"/>
  <c r="M96" i="1"/>
  <c r="K96" i="1"/>
  <c r="J96" i="1"/>
  <c r="L96" i="1" s="1"/>
  <c r="D96" i="1"/>
  <c r="C96" i="1"/>
  <c r="C100" i="1" s="1"/>
  <c r="D100" i="1" s="1"/>
  <c r="W95" i="1"/>
  <c r="I95" i="1"/>
  <c r="H95" i="1"/>
  <c r="G95" i="1"/>
  <c r="F95" i="1"/>
  <c r="E95" i="1"/>
  <c r="W94" i="1"/>
  <c r="T94" i="1"/>
  <c r="V94" i="1" s="1"/>
  <c r="S94" i="1"/>
  <c r="R94" i="1"/>
  <c r="Q94" i="1"/>
  <c r="P94" i="1"/>
  <c r="N94" i="1"/>
  <c r="K94" i="1"/>
  <c r="J94" i="1"/>
  <c r="C94" i="1"/>
  <c r="D94" i="1" s="1"/>
  <c r="W93" i="1"/>
  <c r="S93" i="1"/>
  <c r="R93" i="1"/>
  <c r="Q93" i="1"/>
  <c r="P93" i="1"/>
  <c r="O93" i="1"/>
  <c r="N93" i="1"/>
  <c r="M93" i="1"/>
  <c r="K93" i="1"/>
  <c r="J93" i="1"/>
  <c r="D93" i="1"/>
  <c r="C93" i="1"/>
  <c r="W92" i="1"/>
  <c r="S92" i="1"/>
  <c r="R92" i="1"/>
  <c r="R95" i="1" s="1"/>
  <c r="Q92" i="1"/>
  <c r="P92" i="1"/>
  <c r="C92" i="1"/>
  <c r="W91" i="1"/>
  <c r="S91" i="1"/>
  <c r="R91" i="1"/>
  <c r="Q91" i="1"/>
  <c r="P91" i="1"/>
  <c r="C91" i="1"/>
  <c r="W90" i="1"/>
  <c r="R90" i="1"/>
  <c r="I90" i="1"/>
  <c r="H90" i="1"/>
  <c r="G90" i="1"/>
  <c r="F90" i="1"/>
  <c r="E90" i="1"/>
  <c r="W89" i="1"/>
  <c r="T89" i="1"/>
  <c r="V89" i="1" s="1"/>
  <c r="S89" i="1"/>
  <c r="R89" i="1"/>
  <c r="Q89" i="1"/>
  <c r="P89" i="1"/>
  <c r="N89" i="1"/>
  <c r="M89" i="1"/>
  <c r="K89" i="1"/>
  <c r="J89" i="1"/>
  <c r="C89" i="1"/>
  <c r="O89" i="1" s="1"/>
  <c r="W88" i="1"/>
  <c r="S88" i="1"/>
  <c r="R88" i="1"/>
  <c r="Q88" i="1"/>
  <c r="P88" i="1"/>
  <c r="O88" i="1"/>
  <c r="N88" i="1"/>
  <c r="M88" i="1"/>
  <c r="K88" i="1"/>
  <c r="J88" i="1"/>
  <c r="D88" i="1"/>
  <c r="C88" i="1"/>
  <c r="W87" i="1"/>
  <c r="S87" i="1"/>
  <c r="R87" i="1"/>
  <c r="Q87" i="1"/>
  <c r="Q90" i="1" s="1"/>
  <c r="P87" i="1"/>
  <c r="T87" i="1" s="1"/>
  <c r="V87" i="1" s="1"/>
  <c r="D87" i="1"/>
  <c r="C87" i="1"/>
  <c r="W86" i="1"/>
  <c r="S86" i="1"/>
  <c r="R86" i="1"/>
  <c r="Q86" i="1"/>
  <c r="P86" i="1"/>
  <c r="O86" i="1"/>
  <c r="C86" i="1"/>
  <c r="I85" i="1"/>
  <c r="H85" i="1"/>
  <c r="G85" i="1"/>
  <c r="F85" i="1"/>
  <c r="E85" i="1"/>
  <c r="W84" i="1"/>
  <c r="S84" i="1"/>
  <c r="R84" i="1"/>
  <c r="Q84" i="1"/>
  <c r="P84" i="1"/>
  <c r="C84" i="1"/>
  <c r="W83" i="1"/>
  <c r="S83" i="1"/>
  <c r="R83" i="1"/>
  <c r="Q83" i="1"/>
  <c r="P83" i="1"/>
  <c r="T83" i="1" s="1"/>
  <c r="V83" i="1" s="1"/>
  <c r="O83" i="1"/>
  <c r="C83" i="1"/>
  <c r="W82" i="1"/>
  <c r="S82" i="1"/>
  <c r="R82" i="1"/>
  <c r="Q82" i="1"/>
  <c r="T82" i="1" s="1"/>
  <c r="V82" i="1" s="1"/>
  <c r="P82" i="1"/>
  <c r="O82" i="1"/>
  <c r="N82" i="1"/>
  <c r="K82" i="1"/>
  <c r="J82" i="1"/>
  <c r="D82" i="1"/>
  <c r="C82" i="1"/>
  <c r="M82" i="1" s="1"/>
  <c r="W81" i="1"/>
  <c r="S81" i="1"/>
  <c r="R81" i="1"/>
  <c r="Q81" i="1"/>
  <c r="P81" i="1"/>
  <c r="N81" i="1"/>
  <c r="M81" i="1"/>
  <c r="D81" i="1"/>
  <c r="C81" i="1"/>
  <c r="O81" i="1" s="1"/>
  <c r="R80" i="1"/>
  <c r="J80" i="1"/>
  <c r="I80" i="1"/>
  <c r="H80" i="1"/>
  <c r="G80" i="1"/>
  <c r="F80" i="1"/>
  <c r="E80" i="1"/>
  <c r="C80" i="1"/>
  <c r="K80" i="1" s="1"/>
  <c r="W79" i="1"/>
  <c r="S79" i="1"/>
  <c r="R79" i="1"/>
  <c r="Q79" i="1"/>
  <c r="P79" i="1"/>
  <c r="T79" i="1" s="1"/>
  <c r="V79" i="1" s="1"/>
  <c r="O79" i="1"/>
  <c r="N79" i="1"/>
  <c r="K79" i="1"/>
  <c r="J79" i="1"/>
  <c r="L79" i="1" s="1"/>
  <c r="D79" i="1"/>
  <c r="C79" i="1"/>
  <c r="M79" i="1" s="1"/>
  <c r="W78" i="1"/>
  <c r="V78" i="1"/>
  <c r="S78" i="1"/>
  <c r="R78" i="1"/>
  <c r="Q78" i="1"/>
  <c r="P78" i="1"/>
  <c r="T78" i="1" s="1"/>
  <c r="N78" i="1"/>
  <c r="M78" i="1"/>
  <c r="D78" i="1"/>
  <c r="C78" i="1"/>
  <c r="K78" i="1" s="1"/>
  <c r="W77" i="1"/>
  <c r="T77" i="1"/>
  <c r="V77" i="1" s="1"/>
  <c r="S77" i="1"/>
  <c r="R77" i="1"/>
  <c r="Q77" i="1"/>
  <c r="P77" i="1"/>
  <c r="M77" i="1"/>
  <c r="C77" i="1"/>
  <c r="K77" i="1" s="1"/>
  <c r="W76" i="1"/>
  <c r="S76" i="1"/>
  <c r="S204" i="1" s="1"/>
  <c r="R76" i="1"/>
  <c r="R204" i="1" s="1"/>
  <c r="Q76" i="1"/>
  <c r="P76" i="1"/>
  <c r="O76" i="1"/>
  <c r="N76" i="1"/>
  <c r="K76" i="1"/>
  <c r="C76" i="1"/>
  <c r="M76" i="1" s="1"/>
  <c r="Q75" i="1"/>
  <c r="P75" i="1"/>
  <c r="I75" i="1"/>
  <c r="H75" i="1"/>
  <c r="G75" i="1"/>
  <c r="F75" i="1"/>
  <c r="E75" i="1"/>
  <c r="W74" i="1"/>
  <c r="V74" i="1"/>
  <c r="T74" i="1"/>
  <c r="S74" i="1"/>
  <c r="R74" i="1"/>
  <c r="Q74" i="1"/>
  <c r="P74" i="1"/>
  <c r="M74" i="1"/>
  <c r="C74" i="1"/>
  <c r="K74" i="1" s="1"/>
  <c r="W73" i="1"/>
  <c r="S73" i="1"/>
  <c r="T73" i="1" s="1"/>
  <c r="V73" i="1" s="1"/>
  <c r="R73" i="1"/>
  <c r="Q73" i="1"/>
  <c r="P73" i="1"/>
  <c r="O73" i="1"/>
  <c r="N73" i="1"/>
  <c r="K73" i="1"/>
  <c r="C73" i="1"/>
  <c r="J73" i="1" s="1"/>
  <c r="W72" i="1"/>
  <c r="S72" i="1"/>
  <c r="S75" i="1" s="1"/>
  <c r="R72" i="1"/>
  <c r="Q72" i="1"/>
  <c r="P72" i="1"/>
  <c r="T72" i="1" s="1"/>
  <c r="V72" i="1" s="1"/>
  <c r="O72" i="1"/>
  <c r="N72" i="1"/>
  <c r="M72" i="1"/>
  <c r="K72" i="1"/>
  <c r="J72" i="1"/>
  <c r="C72" i="1"/>
  <c r="D72" i="1" s="1"/>
  <c r="W71" i="1"/>
  <c r="S71" i="1"/>
  <c r="R71" i="1"/>
  <c r="Q71" i="1"/>
  <c r="P71" i="1"/>
  <c r="O71" i="1"/>
  <c r="N71" i="1"/>
  <c r="M71" i="1"/>
  <c r="K71" i="1"/>
  <c r="J71" i="1"/>
  <c r="L71" i="1" s="1"/>
  <c r="D71" i="1"/>
  <c r="C71" i="1"/>
  <c r="W70" i="1"/>
  <c r="I70" i="1"/>
  <c r="H70" i="1"/>
  <c r="G70" i="1"/>
  <c r="F70" i="1"/>
  <c r="E70" i="1"/>
  <c r="W69" i="1"/>
  <c r="S69" i="1"/>
  <c r="R69" i="1"/>
  <c r="Q69" i="1"/>
  <c r="P69" i="1"/>
  <c r="T69" i="1" s="1"/>
  <c r="V69" i="1" s="1"/>
  <c r="O69" i="1"/>
  <c r="N69" i="1"/>
  <c r="M69" i="1"/>
  <c r="K69" i="1"/>
  <c r="J69" i="1"/>
  <c r="C69" i="1"/>
  <c r="D69" i="1" s="1"/>
  <c r="W68" i="1"/>
  <c r="S68" i="1"/>
  <c r="R68" i="1"/>
  <c r="R70" i="1" s="1"/>
  <c r="Q68" i="1"/>
  <c r="P68" i="1"/>
  <c r="O68" i="1"/>
  <c r="N68" i="1"/>
  <c r="M68" i="1"/>
  <c r="K68" i="1"/>
  <c r="J68" i="1"/>
  <c r="D68" i="1"/>
  <c r="C68" i="1"/>
  <c r="W67" i="1"/>
  <c r="S67" i="1"/>
  <c r="R67" i="1"/>
  <c r="Q67" i="1"/>
  <c r="Q70" i="1" s="1"/>
  <c r="P67" i="1"/>
  <c r="D67" i="1"/>
  <c r="C67" i="1"/>
  <c r="W66" i="1"/>
  <c r="S66" i="1"/>
  <c r="R66" i="1"/>
  <c r="Q66" i="1"/>
  <c r="P66" i="1"/>
  <c r="C66" i="1"/>
  <c r="I65" i="1"/>
  <c r="H65" i="1"/>
  <c r="G65" i="1"/>
  <c r="F65" i="1"/>
  <c r="E65" i="1"/>
  <c r="W64" i="1"/>
  <c r="S64" i="1"/>
  <c r="R64" i="1"/>
  <c r="Q64" i="1"/>
  <c r="P64" i="1"/>
  <c r="T64" i="1" s="1"/>
  <c r="V64" i="1" s="1"/>
  <c r="D64" i="1"/>
  <c r="C64" i="1"/>
  <c r="W63" i="1"/>
  <c r="S63" i="1"/>
  <c r="R63" i="1"/>
  <c r="Q63" i="1"/>
  <c r="P63" i="1"/>
  <c r="O63" i="1"/>
  <c r="C63" i="1"/>
  <c r="W62" i="1"/>
  <c r="S62" i="1"/>
  <c r="R62" i="1"/>
  <c r="Q62" i="1"/>
  <c r="P62" i="1"/>
  <c r="T62" i="1" s="1"/>
  <c r="V62" i="1" s="1"/>
  <c r="O62" i="1"/>
  <c r="N62" i="1"/>
  <c r="K62" i="1"/>
  <c r="J62" i="1"/>
  <c r="L62" i="1" s="1"/>
  <c r="D62" i="1"/>
  <c r="C62" i="1"/>
  <c r="M62" i="1" s="1"/>
  <c r="W61" i="1"/>
  <c r="W65" i="1" s="1"/>
  <c r="S61" i="1"/>
  <c r="S65" i="1" s="1"/>
  <c r="R61" i="1"/>
  <c r="R65" i="1" s="1"/>
  <c r="Q61" i="1"/>
  <c r="Q65" i="1" s="1"/>
  <c r="P61" i="1"/>
  <c r="T61" i="1" s="1"/>
  <c r="N61" i="1"/>
  <c r="M61" i="1"/>
  <c r="D61" i="1"/>
  <c r="C61" i="1"/>
  <c r="S60" i="1"/>
  <c r="R60" i="1"/>
  <c r="I60" i="1"/>
  <c r="H60" i="1"/>
  <c r="G60" i="1"/>
  <c r="F60" i="1"/>
  <c r="E60" i="1"/>
  <c r="O60" i="1" s="1"/>
  <c r="C60" i="1"/>
  <c r="K60" i="1" s="1"/>
  <c r="W59" i="1"/>
  <c r="S59" i="1"/>
  <c r="R59" i="1"/>
  <c r="Q59" i="1"/>
  <c r="P59" i="1"/>
  <c r="T59" i="1" s="1"/>
  <c r="V59" i="1" s="1"/>
  <c r="O59" i="1"/>
  <c r="N59" i="1"/>
  <c r="K59" i="1"/>
  <c r="J59" i="1"/>
  <c r="D59" i="1"/>
  <c r="C59" i="1"/>
  <c r="M59" i="1" s="1"/>
  <c r="W58" i="1"/>
  <c r="S58" i="1"/>
  <c r="R58" i="1"/>
  <c r="Q58" i="1"/>
  <c r="P58" i="1"/>
  <c r="T58" i="1" s="1"/>
  <c r="V58" i="1" s="1"/>
  <c r="N58" i="1"/>
  <c r="M58" i="1"/>
  <c r="D58" i="1"/>
  <c r="C58" i="1"/>
  <c r="K58" i="1" s="1"/>
  <c r="W57" i="1"/>
  <c r="V57" i="1"/>
  <c r="T57" i="1"/>
  <c r="S57" i="1"/>
  <c r="R57" i="1"/>
  <c r="Q57" i="1"/>
  <c r="P57" i="1"/>
  <c r="M57" i="1"/>
  <c r="C57" i="1"/>
  <c r="K57" i="1" s="1"/>
  <c r="W56" i="1"/>
  <c r="T56" i="1"/>
  <c r="S56" i="1"/>
  <c r="R56" i="1"/>
  <c r="Q56" i="1"/>
  <c r="Q60" i="1" s="1"/>
  <c r="P56" i="1"/>
  <c r="P60" i="1" s="1"/>
  <c r="O56" i="1"/>
  <c r="N56" i="1"/>
  <c r="K56" i="1"/>
  <c r="C56" i="1"/>
  <c r="J56" i="1" s="1"/>
  <c r="Q55" i="1"/>
  <c r="I55" i="1"/>
  <c r="H55" i="1"/>
  <c r="M55" i="1" s="1"/>
  <c r="G55" i="1"/>
  <c r="F55" i="1"/>
  <c r="E55" i="1"/>
  <c r="O55" i="1" s="1"/>
  <c r="D55" i="1"/>
  <c r="W54" i="1"/>
  <c r="S54" i="1"/>
  <c r="R54" i="1"/>
  <c r="Q54" i="1"/>
  <c r="P54" i="1"/>
  <c r="M54" i="1"/>
  <c r="C54" i="1"/>
  <c r="W53" i="1"/>
  <c r="T53" i="1"/>
  <c r="V53" i="1" s="1"/>
  <c r="S53" i="1"/>
  <c r="R53" i="1"/>
  <c r="Q53" i="1"/>
  <c r="P53" i="1"/>
  <c r="O53" i="1"/>
  <c r="N53" i="1"/>
  <c r="K53" i="1"/>
  <c r="C53" i="1"/>
  <c r="J53" i="1" s="1"/>
  <c r="W52" i="1"/>
  <c r="S52" i="1"/>
  <c r="R52" i="1"/>
  <c r="Q52" i="1"/>
  <c r="P52" i="1"/>
  <c r="O52" i="1"/>
  <c r="N52" i="1"/>
  <c r="M52" i="1"/>
  <c r="K52" i="1"/>
  <c r="J52" i="1"/>
  <c r="C52" i="1"/>
  <c r="D52" i="1" s="1"/>
  <c r="W51" i="1"/>
  <c r="W55" i="1" s="1"/>
  <c r="S51" i="1"/>
  <c r="R51" i="1"/>
  <c r="Q51" i="1"/>
  <c r="P51" i="1"/>
  <c r="O51" i="1"/>
  <c r="N51" i="1"/>
  <c r="M51" i="1"/>
  <c r="K51" i="1"/>
  <c r="J51" i="1"/>
  <c r="L51" i="1" s="1"/>
  <c r="D51" i="1"/>
  <c r="C51" i="1"/>
  <c r="C55" i="1" s="1"/>
  <c r="W50" i="1"/>
  <c r="I50" i="1"/>
  <c r="H50" i="1"/>
  <c r="G50" i="1"/>
  <c r="F50" i="1"/>
  <c r="E50" i="1"/>
  <c r="W49" i="1"/>
  <c r="S49" i="1"/>
  <c r="R49" i="1"/>
  <c r="T49" i="1" s="1"/>
  <c r="V49" i="1" s="1"/>
  <c r="Q49" i="1"/>
  <c r="P49" i="1"/>
  <c r="J49" i="1"/>
  <c r="C49" i="1"/>
  <c r="D49" i="1" s="1"/>
  <c r="W48" i="1"/>
  <c r="S48" i="1"/>
  <c r="R48" i="1"/>
  <c r="Q48" i="1"/>
  <c r="P48" i="1"/>
  <c r="T48" i="1" s="1"/>
  <c r="V48" i="1" s="1"/>
  <c r="C48" i="1"/>
  <c r="W47" i="1"/>
  <c r="S47" i="1"/>
  <c r="R47" i="1"/>
  <c r="Q47" i="1"/>
  <c r="P47" i="1"/>
  <c r="T47" i="1" s="1"/>
  <c r="V47" i="1" s="1"/>
  <c r="O47" i="1"/>
  <c r="N47" i="1"/>
  <c r="M47" i="1"/>
  <c r="J47" i="1"/>
  <c r="D47" i="1"/>
  <c r="C47" i="1"/>
  <c r="K47" i="1" s="1"/>
  <c r="W46" i="1"/>
  <c r="S46" i="1"/>
  <c r="R46" i="1"/>
  <c r="R50" i="1" s="1"/>
  <c r="Q46" i="1"/>
  <c r="Q50" i="1" s="1"/>
  <c r="P46" i="1"/>
  <c r="N46" i="1"/>
  <c r="M46" i="1"/>
  <c r="D46" i="1"/>
  <c r="C46" i="1"/>
  <c r="O46" i="1" s="1"/>
  <c r="I45" i="1"/>
  <c r="H45" i="1"/>
  <c r="G45" i="1"/>
  <c r="F45" i="1"/>
  <c r="E45" i="1"/>
  <c r="C45" i="1"/>
  <c r="K45" i="1" s="1"/>
  <c r="W44" i="1"/>
  <c r="S44" i="1"/>
  <c r="R44" i="1"/>
  <c r="Q44" i="1"/>
  <c r="P44" i="1"/>
  <c r="O44" i="1"/>
  <c r="N44" i="1"/>
  <c r="M44" i="1"/>
  <c r="J44" i="1"/>
  <c r="D44" i="1"/>
  <c r="C44" i="1"/>
  <c r="K44" i="1" s="1"/>
  <c r="W43" i="1"/>
  <c r="S43" i="1"/>
  <c r="R43" i="1"/>
  <c r="Q43" i="1"/>
  <c r="P43" i="1"/>
  <c r="N43" i="1"/>
  <c r="M43" i="1"/>
  <c r="D43" i="1"/>
  <c r="C43" i="1"/>
  <c r="K43" i="1" s="1"/>
  <c r="W42" i="1"/>
  <c r="T42" i="1"/>
  <c r="V42" i="1" s="1"/>
  <c r="S42" i="1"/>
  <c r="R42" i="1"/>
  <c r="Q42" i="1"/>
  <c r="P42" i="1"/>
  <c r="M42" i="1"/>
  <c r="C42" i="1"/>
  <c r="K42" i="1" s="1"/>
  <c r="W41" i="1"/>
  <c r="T41" i="1"/>
  <c r="S41" i="1"/>
  <c r="R41" i="1"/>
  <c r="Q41" i="1"/>
  <c r="P41" i="1"/>
  <c r="P45" i="1" s="1"/>
  <c r="O41" i="1"/>
  <c r="N41" i="1"/>
  <c r="K41" i="1"/>
  <c r="J41" i="1"/>
  <c r="C41" i="1"/>
  <c r="D41" i="1" s="1"/>
  <c r="I40" i="1"/>
  <c r="H40" i="1"/>
  <c r="W39" i="1"/>
  <c r="V39" i="1"/>
  <c r="T39" i="1"/>
  <c r="S39" i="1"/>
  <c r="R39" i="1"/>
  <c r="Q39" i="1"/>
  <c r="P39" i="1"/>
  <c r="M39" i="1"/>
  <c r="C39" i="1"/>
  <c r="K39" i="1" s="1"/>
  <c r="W38" i="1"/>
  <c r="T38" i="1"/>
  <c r="V38" i="1" s="1"/>
  <c r="S38" i="1"/>
  <c r="R38" i="1"/>
  <c r="Q38" i="1"/>
  <c r="P38" i="1"/>
  <c r="O38" i="1"/>
  <c r="N38" i="1"/>
  <c r="K38" i="1"/>
  <c r="C38" i="1"/>
  <c r="J38" i="1" s="1"/>
  <c r="W37" i="1"/>
  <c r="S37" i="1"/>
  <c r="R37" i="1"/>
  <c r="K37" i="1"/>
  <c r="I37" i="1"/>
  <c r="H37" i="1"/>
  <c r="G37" i="1"/>
  <c r="Q37" i="1" s="1"/>
  <c r="F37" i="1"/>
  <c r="P37" i="1" s="1"/>
  <c r="E37" i="1"/>
  <c r="O37" i="1" s="1"/>
  <c r="C37" i="1"/>
  <c r="W36" i="1"/>
  <c r="W40" i="1" s="1"/>
  <c r="R36" i="1"/>
  <c r="R40" i="1" s="1"/>
  <c r="I36" i="1"/>
  <c r="S36" i="1" s="1"/>
  <c r="H36" i="1"/>
  <c r="G36" i="1"/>
  <c r="F36" i="1"/>
  <c r="F40" i="1" s="1"/>
  <c r="E36" i="1"/>
  <c r="E40" i="1" s="1"/>
  <c r="H35" i="1"/>
  <c r="G35" i="1"/>
  <c r="W34" i="1"/>
  <c r="T34" i="1"/>
  <c r="V34" i="1" s="1"/>
  <c r="S34" i="1"/>
  <c r="R34" i="1"/>
  <c r="Q34" i="1"/>
  <c r="P34" i="1"/>
  <c r="O34" i="1"/>
  <c r="N34" i="1"/>
  <c r="K34" i="1"/>
  <c r="C34" i="1"/>
  <c r="J34" i="1" s="1"/>
  <c r="W33" i="1"/>
  <c r="S33" i="1"/>
  <c r="R33" i="1"/>
  <c r="Q33" i="1"/>
  <c r="P33" i="1"/>
  <c r="N33" i="1"/>
  <c r="M33" i="1"/>
  <c r="K33" i="1"/>
  <c r="J33" i="1"/>
  <c r="C33" i="1"/>
  <c r="D33" i="1" s="1"/>
  <c r="R32" i="1"/>
  <c r="Q32" i="1"/>
  <c r="I32" i="1"/>
  <c r="H32" i="1"/>
  <c r="G32" i="1"/>
  <c r="F32" i="1"/>
  <c r="P32" i="1" s="1"/>
  <c r="E32" i="1"/>
  <c r="W31" i="1"/>
  <c r="Q31" i="1"/>
  <c r="Q35" i="1" s="1"/>
  <c r="I31" i="1"/>
  <c r="S31" i="1" s="1"/>
  <c r="H31" i="1"/>
  <c r="R31" i="1" s="1"/>
  <c r="G31" i="1"/>
  <c r="F31" i="1"/>
  <c r="E31" i="1"/>
  <c r="E35" i="1" s="1"/>
  <c r="I30" i="1"/>
  <c r="H30" i="1"/>
  <c r="G30" i="1"/>
  <c r="F30" i="1"/>
  <c r="E30" i="1"/>
  <c r="W29" i="1"/>
  <c r="S29" i="1"/>
  <c r="R29" i="1"/>
  <c r="Q29" i="1"/>
  <c r="P29" i="1"/>
  <c r="N29" i="1"/>
  <c r="M29" i="1"/>
  <c r="K29" i="1"/>
  <c r="J29" i="1"/>
  <c r="C29" i="1"/>
  <c r="D29" i="1" s="1"/>
  <c r="W28" i="1"/>
  <c r="S28" i="1"/>
  <c r="R28" i="1"/>
  <c r="Q28" i="1"/>
  <c r="T28" i="1" s="1"/>
  <c r="V28" i="1" s="1"/>
  <c r="P28" i="1"/>
  <c r="M28" i="1"/>
  <c r="J28" i="1"/>
  <c r="D28" i="1"/>
  <c r="C28" i="1"/>
  <c r="O28" i="1" s="1"/>
  <c r="W27" i="1"/>
  <c r="S27" i="1"/>
  <c r="R27" i="1"/>
  <c r="Q27" i="1"/>
  <c r="P27" i="1"/>
  <c r="D27" i="1"/>
  <c r="C27" i="1"/>
  <c r="O27" i="1" s="1"/>
  <c r="W26" i="1"/>
  <c r="S26" i="1"/>
  <c r="R26" i="1"/>
  <c r="Q26" i="1"/>
  <c r="Q30" i="1" s="1"/>
  <c r="P26" i="1"/>
  <c r="C26" i="1"/>
  <c r="I25" i="1"/>
  <c r="H25" i="1"/>
  <c r="G25" i="1"/>
  <c r="F25" i="1"/>
  <c r="E25" i="1"/>
  <c r="W24" i="1"/>
  <c r="S24" i="1"/>
  <c r="R24" i="1"/>
  <c r="Q24" i="1"/>
  <c r="P24" i="1"/>
  <c r="C24" i="1"/>
  <c r="W23" i="1"/>
  <c r="S23" i="1"/>
  <c r="R23" i="1"/>
  <c r="Q23" i="1"/>
  <c r="P23" i="1"/>
  <c r="O23" i="1"/>
  <c r="N23" i="1"/>
  <c r="J23" i="1"/>
  <c r="D23" i="1"/>
  <c r="C23" i="1"/>
  <c r="M23" i="1" s="1"/>
  <c r="W22" i="1"/>
  <c r="S22" i="1"/>
  <c r="R22" i="1"/>
  <c r="Q22" i="1"/>
  <c r="P22" i="1"/>
  <c r="N22" i="1"/>
  <c r="M22" i="1"/>
  <c r="D22" i="1"/>
  <c r="C22" i="1"/>
  <c r="K22" i="1" s="1"/>
  <c r="W21" i="1"/>
  <c r="S21" i="1"/>
  <c r="S25" i="1" s="1"/>
  <c r="R21" i="1"/>
  <c r="R25" i="1" s="1"/>
  <c r="Q21" i="1"/>
  <c r="P21" i="1"/>
  <c r="P25" i="1" s="1"/>
  <c r="M21" i="1"/>
  <c r="C21" i="1"/>
  <c r="K21" i="1" s="1"/>
  <c r="P20" i="1"/>
  <c r="I20" i="1"/>
  <c r="H20" i="1"/>
  <c r="M20" i="1" s="1"/>
  <c r="G20" i="1"/>
  <c r="F20" i="1"/>
  <c r="E20" i="1"/>
  <c r="W19" i="1"/>
  <c r="S19" i="1"/>
  <c r="R19" i="1"/>
  <c r="Q19" i="1"/>
  <c r="P19" i="1"/>
  <c r="M19" i="1"/>
  <c r="C19" i="1"/>
  <c r="K19" i="1" s="1"/>
  <c r="W18" i="1"/>
  <c r="S18" i="1"/>
  <c r="R18" i="1"/>
  <c r="Q18" i="1"/>
  <c r="P18" i="1"/>
  <c r="O18" i="1"/>
  <c r="N18" i="1"/>
  <c r="K18" i="1"/>
  <c r="C18" i="1"/>
  <c r="J18" i="1" s="1"/>
  <c r="W17" i="1"/>
  <c r="S17" i="1"/>
  <c r="R17" i="1"/>
  <c r="Q17" i="1"/>
  <c r="P17" i="1"/>
  <c r="O17" i="1"/>
  <c r="N17" i="1"/>
  <c r="M17" i="1"/>
  <c r="K17" i="1"/>
  <c r="J17" i="1"/>
  <c r="C17" i="1"/>
  <c r="D17" i="1" s="1"/>
  <c r="W16" i="1"/>
  <c r="S16" i="1"/>
  <c r="R16" i="1"/>
  <c r="Q16" i="1"/>
  <c r="T16" i="1" s="1"/>
  <c r="P16" i="1"/>
  <c r="O16" i="1"/>
  <c r="N16" i="1"/>
  <c r="M16" i="1"/>
  <c r="K16" i="1"/>
  <c r="J16" i="1"/>
  <c r="D16" i="1"/>
  <c r="C16" i="1"/>
  <c r="C20" i="1" s="1"/>
  <c r="W15" i="1"/>
  <c r="I15" i="1"/>
  <c r="H15" i="1"/>
  <c r="G15" i="1"/>
  <c r="F15" i="1"/>
  <c r="E15" i="1"/>
  <c r="W14" i="1"/>
  <c r="S14" i="1"/>
  <c r="R14" i="1"/>
  <c r="Q14" i="1"/>
  <c r="T14" i="1" s="1"/>
  <c r="V14" i="1" s="1"/>
  <c r="P14" i="1"/>
  <c r="N14" i="1"/>
  <c r="M14" i="1"/>
  <c r="K14" i="1"/>
  <c r="J14" i="1"/>
  <c r="L14" i="1" s="1"/>
  <c r="D14" i="1"/>
  <c r="C14" i="1"/>
  <c r="O14" i="1" s="1"/>
  <c r="W13" i="1"/>
  <c r="T13" i="1"/>
  <c r="V13" i="1" s="1"/>
  <c r="S13" i="1"/>
  <c r="R13" i="1"/>
  <c r="Q13" i="1"/>
  <c r="Q15" i="1" s="1"/>
  <c r="P13" i="1"/>
  <c r="C13" i="1"/>
  <c r="W12" i="1"/>
  <c r="S12" i="1"/>
  <c r="R12" i="1"/>
  <c r="Q12" i="1"/>
  <c r="P12" i="1"/>
  <c r="C12" i="1"/>
  <c r="W11" i="1"/>
  <c r="S11" i="1"/>
  <c r="S15" i="1" s="1"/>
  <c r="R11" i="1"/>
  <c r="R15" i="1" s="1"/>
  <c r="Q11" i="1"/>
  <c r="P11" i="1"/>
  <c r="O11" i="1"/>
  <c r="N11" i="1"/>
  <c r="K11" i="1"/>
  <c r="J11" i="1"/>
  <c r="L11" i="1" s="1"/>
  <c r="D11" i="1"/>
  <c r="C11" i="1"/>
  <c r="M11" i="1" s="1"/>
  <c r="N10" i="1"/>
  <c r="I10" i="1"/>
  <c r="H10" i="1"/>
  <c r="G10" i="1"/>
  <c r="F10" i="1"/>
  <c r="J10" i="1" s="1"/>
  <c r="E10" i="1"/>
  <c r="O10" i="1" s="1"/>
  <c r="C10" i="1"/>
  <c r="W9" i="1"/>
  <c r="S9" i="1"/>
  <c r="R9" i="1"/>
  <c r="Q9" i="1"/>
  <c r="P9" i="1"/>
  <c r="T9" i="1" s="1"/>
  <c r="V9" i="1" s="1"/>
  <c r="N9" i="1"/>
  <c r="C9" i="1"/>
  <c r="M9" i="1" s="1"/>
  <c r="W8" i="1"/>
  <c r="T8" i="1"/>
  <c r="V8" i="1" s="1"/>
  <c r="S8" i="1"/>
  <c r="R8" i="1"/>
  <c r="Q8" i="1"/>
  <c r="P8" i="1"/>
  <c r="O8" i="1"/>
  <c r="N8" i="1"/>
  <c r="K8" i="1"/>
  <c r="C8" i="1"/>
  <c r="J8" i="1" s="1"/>
  <c r="W7" i="1"/>
  <c r="S7" i="1"/>
  <c r="S10" i="1" s="1"/>
  <c r="R7" i="1"/>
  <c r="T7" i="1" s="1"/>
  <c r="V7" i="1" s="1"/>
  <c r="Q7" i="1"/>
  <c r="P7" i="1"/>
  <c r="O7" i="1"/>
  <c r="N7" i="1"/>
  <c r="M7" i="1"/>
  <c r="K7" i="1"/>
  <c r="J7" i="1"/>
  <c r="L7" i="1" s="1"/>
  <c r="C7" i="1"/>
  <c r="D7" i="1" s="1"/>
  <c r="W6" i="1"/>
  <c r="W10" i="1" s="1"/>
  <c r="S6" i="1"/>
  <c r="R6" i="1"/>
  <c r="R10" i="1" s="1"/>
  <c r="Q6" i="1"/>
  <c r="Q10" i="1" s="1"/>
  <c r="P6" i="1"/>
  <c r="O6" i="1"/>
  <c r="N6" i="1"/>
  <c r="M6" i="1"/>
  <c r="K6" i="1"/>
  <c r="J6" i="1"/>
  <c r="D6" i="1"/>
  <c r="C6" i="1"/>
  <c r="S8" i="16"/>
  <c r="R8" i="16"/>
  <c r="Q8" i="16"/>
  <c r="N8" i="16"/>
  <c r="M8" i="16"/>
  <c r="I8" i="16"/>
  <c r="H8" i="16"/>
  <c r="G8" i="16"/>
  <c r="F8" i="16"/>
  <c r="E8" i="16"/>
  <c r="D8" i="16"/>
  <c r="C8" i="16"/>
  <c r="B8" i="16"/>
  <c r="Z7" i="16"/>
  <c r="AA7" i="16" s="1"/>
  <c r="P7" i="16"/>
  <c r="O7" i="16"/>
  <c r="L7" i="16"/>
  <c r="J7" i="16"/>
  <c r="J8" i="16" s="1"/>
  <c r="P6" i="16"/>
  <c r="O6" i="16"/>
  <c r="L6" i="16"/>
  <c r="P5" i="16"/>
  <c r="O5" i="16"/>
  <c r="L5" i="16"/>
  <c r="K5" i="16"/>
  <c r="O4" i="16"/>
  <c r="K4" i="16"/>
  <c r="D154" i="1" l="1"/>
  <c r="T154" i="1"/>
  <c r="V154" i="1" s="1"/>
  <c r="C155" i="1"/>
  <c r="D199" i="1"/>
  <c r="D220" i="1"/>
  <c r="N160" i="1"/>
  <c r="D160" i="1"/>
  <c r="L38" i="1"/>
  <c r="L53" i="1"/>
  <c r="L56" i="1"/>
  <c r="L69" i="1"/>
  <c r="L73" i="1"/>
  <c r="L82" i="1"/>
  <c r="L94" i="1"/>
  <c r="L117" i="1"/>
  <c r="L52" i="1"/>
  <c r="L59" i="1"/>
  <c r="L8" i="16"/>
  <c r="L151" i="1"/>
  <c r="L18" i="1"/>
  <c r="Q25" i="1"/>
  <c r="W30" i="1"/>
  <c r="L34" i="1"/>
  <c r="R45" i="1"/>
  <c r="L6" i="1"/>
  <c r="L16" i="1"/>
  <c r="T23" i="1"/>
  <c r="V23" i="1" s="1"/>
  <c r="S45" i="1"/>
  <c r="L68" i="1"/>
  <c r="L72" i="1"/>
  <c r="L88" i="1"/>
  <c r="T19" i="1"/>
  <c r="V19" i="1" s="1"/>
  <c r="Y8" i="16"/>
  <c r="AC8" i="16" s="1"/>
  <c r="T18" i="1"/>
  <c r="V18" i="1" s="1"/>
  <c r="L41" i="1"/>
  <c r="L93" i="1"/>
  <c r="L98" i="1"/>
  <c r="L101" i="1"/>
  <c r="L149" i="1"/>
  <c r="R30" i="1"/>
  <c r="L107" i="1"/>
  <c r="L128" i="1"/>
  <c r="P8" i="16"/>
  <c r="L8" i="1"/>
  <c r="T22" i="1"/>
  <c r="V22" i="1" s="1"/>
  <c r="T24" i="1"/>
  <c r="V24" i="1" s="1"/>
  <c r="S30" i="1"/>
  <c r="T29" i="1"/>
  <c r="V29" i="1" s="1"/>
  <c r="T44" i="1"/>
  <c r="V44" i="1" s="1"/>
  <c r="L102" i="1"/>
  <c r="L104" i="1"/>
  <c r="L114" i="1"/>
  <c r="O8" i="16"/>
  <c r="Q45" i="1"/>
  <c r="L148" i="1"/>
  <c r="Q20" i="1"/>
  <c r="W20" i="1"/>
  <c r="T27" i="1"/>
  <c r="V27" i="1" s="1"/>
  <c r="L44" i="1"/>
  <c r="L119" i="1"/>
  <c r="T21" i="1"/>
  <c r="R20" i="1"/>
  <c r="K8" i="16"/>
  <c r="T43" i="1"/>
  <c r="V43" i="1" s="1"/>
  <c r="L132" i="1"/>
  <c r="L157" i="1"/>
  <c r="T160" i="1"/>
  <c r="U160" i="1" s="1"/>
  <c r="L156" i="1"/>
  <c r="J160" i="1"/>
  <c r="M160" i="1"/>
  <c r="K160" i="1"/>
  <c r="L160" i="1" s="1"/>
  <c r="X160" i="1"/>
  <c r="L159" i="1"/>
  <c r="AB160" i="1"/>
  <c r="N15" i="1"/>
  <c r="P55" i="1"/>
  <c r="T54" i="1"/>
  <c r="V54" i="1" s="1"/>
  <c r="D10" i="1"/>
  <c r="M10" i="1"/>
  <c r="O15" i="1"/>
  <c r="L17" i="1"/>
  <c r="L29" i="1"/>
  <c r="N90" i="1"/>
  <c r="P110" i="1"/>
  <c r="P210" i="1"/>
  <c r="T106" i="1"/>
  <c r="M8" i="1"/>
  <c r="O9" i="1"/>
  <c r="N20" i="1"/>
  <c r="N24" i="1"/>
  <c r="M24" i="1"/>
  <c r="K24" i="1"/>
  <c r="J24" i="1"/>
  <c r="D24" i="1"/>
  <c r="O24" i="1"/>
  <c r="T26" i="1"/>
  <c r="P30" i="1"/>
  <c r="F35" i="1"/>
  <c r="C31" i="1"/>
  <c r="J31" i="1" s="1"/>
  <c r="P31" i="1"/>
  <c r="L33" i="1"/>
  <c r="N37" i="1"/>
  <c r="M37" i="1"/>
  <c r="D37" i="1"/>
  <c r="J37" i="1"/>
  <c r="L37" i="1" s="1"/>
  <c r="L47" i="1"/>
  <c r="T6" i="1"/>
  <c r="N12" i="1"/>
  <c r="M12" i="1"/>
  <c r="J12" i="1"/>
  <c r="D12" i="1"/>
  <c r="O13" i="1"/>
  <c r="N13" i="1"/>
  <c r="M13" i="1"/>
  <c r="K13" i="1"/>
  <c r="J13" i="1"/>
  <c r="D20" i="1"/>
  <c r="K20" i="1"/>
  <c r="V16" i="1"/>
  <c r="V20" i="1" s="1"/>
  <c r="K30" i="1"/>
  <c r="N48" i="1"/>
  <c r="M48" i="1"/>
  <c r="K48" i="1"/>
  <c r="J48" i="1"/>
  <c r="D48" i="1"/>
  <c r="O48" i="1"/>
  <c r="K12" i="1"/>
  <c r="D13" i="1"/>
  <c r="M25" i="1"/>
  <c r="R35" i="1"/>
  <c r="G40" i="1"/>
  <c r="Q36" i="1"/>
  <c r="Q40" i="1" s="1"/>
  <c r="T37" i="1"/>
  <c r="V37" i="1" s="1"/>
  <c r="T65" i="1"/>
  <c r="Y65" i="1" s="1"/>
  <c r="Z6" i="16"/>
  <c r="AA6" i="16" s="1"/>
  <c r="Z5" i="16"/>
  <c r="AA5" i="16" s="1"/>
  <c r="D9" i="1"/>
  <c r="O12" i="1"/>
  <c r="S20" i="1"/>
  <c r="T17" i="1"/>
  <c r="V17" i="1" s="1"/>
  <c r="N45" i="1"/>
  <c r="M45" i="1"/>
  <c r="D45" i="1"/>
  <c r="J45" i="1"/>
  <c r="L45" i="1" s="1"/>
  <c r="J15" i="1"/>
  <c r="Z4" i="16"/>
  <c r="AA4" i="16" s="1"/>
  <c r="D8" i="1"/>
  <c r="J9" i="1"/>
  <c r="T11" i="1"/>
  <c r="T12" i="1"/>
  <c r="V12" i="1" s="1"/>
  <c r="O20" i="1"/>
  <c r="W25" i="1"/>
  <c r="T33" i="1"/>
  <c r="V33" i="1" s="1"/>
  <c r="S40" i="1"/>
  <c r="V41" i="1"/>
  <c r="O45" i="1"/>
  <c r="M70" i="1"/>
  <c r="N26" i="1"/>
  <c r="M26" i="1"/>
  <c r="C30" i="1"/>
  <c r="J30" i="1" s="1"/>
  <c r="L30" i="1" s="1"/>
  <c r="K26" i="1"/>
  <c r="J26" i="1"/>
  <c r="D26" i="1"/>
  <c r="O26" i="1"/>
  <c r="P10" i="1"/>
  <c r="K9" i="1"/>
  <c r="K10" i="1"/>
  <c r="L10" i="1" s="1"/>
  <c r="J20" i="1"/>
  <c r="W45" i="1"/>
  <c r="N66" i="1"/>
  <c r="M66" i="1"/>
  <c r="C70" i="1"/>
  <c r="K66" i="1"/>
  <c r="J66" i="1"/>
  <c r="D66" i="1"/>
  <c r="O66" i="1"/>
  <c r="C25" i="1"/>
  <c r="J25" i="1" s="1"/>
  <c r="T52" i="1"/>
  <c r="V52" i="1" s="1"/>
  <c r="N63" i="1"/>
  <c r="M63" i="1"/>
  <c r="K63" i="1"/>
  <c r="J63" i="1"/>
  <c r="L63" i="1" s="1"/>
  <c r="D63" i="1"/>
  <c r="J65" i="1"/>
  <c r="O67" i="1"/>
  <c r="N67" i="1"/>
  <c r="M67" i="1"/>
  <c r="K67" i="1"/>
  <c r="J67" i="1"/>
  <c r="D163" i="1"/>
  <c r="R203" i="1"/>
  <c r="R75" i="1"/>
  <c r="T84" i="1"/>
  <c r="V84" i="1" s="1"/>
  <c r="C166" i="1"/>
  <c r="C185" i="1"/>
  <c r="C206" i="1"/>
  <c r="C90" i="1"/>
  <c r="D90" i="1" s="1"/>
  <c r="N86" i="1"/>
  <c r="M86" i="1"/>
  <c r="K86" i="1"/>
  <c r="J86" i="1"/>
  <c r="D86" i="1"/>
  <c r="M90" i="1"/>
  <c r="Q207" i="1"/>
  <c r="Q95" i="1"/>
  <c r="O110" i="1"/>
  <c r="M110" i="1"/>
  <c r="D110" i="1"/>
  <c r="K110" i="1"/>
  <c r="N112" i="1"/>
  <c r="M112" i="1"/>
  <c r="K112" i="1"/>
  <c r="J112" i="1"/>
  <c r="D112" i="1"/>
  <c r="C171" i="1"/>
  <c r="O112" i="1"/>
  <c r="T124" i="1"/>
  <c r="V124" i="1" s="1"/>
  <c r="M18" i="1"/>
  <c r="N19" i="1"/>
  <c r="N21" i="1"/>
  <c r="O22" i="1"/>
  <c r="J27" i="1"/>
  <c r="K28" i="1"/>
  <c r="L28" i="1" s="1"/>
  <c r="C32" i="1"/>
  <c r="N32" i="1" s="1"/>
  <c r="S32" i="1"/>
  <c r="T32" i="1" s="1"/>
  <c r="V32" i="1" s="1"/>
  <c r="M34" i="1"/>
  <c r="I35" i="1"/>
  <c r="P36" i="1"/>
  <c r="M38" i="1"/>
  <c r="N39" i="1"/>
  <c r="M41" i="1"/>
  <c r="N42" i="1"/>
  <c r="O43" i="1"/>
  <c r="K49" i="1"/>
  <c r="L49" i="1" s="1"/>
  <c r="X60" i="1"/>
  <c r="T63" i="1"/>
  <c r="V63" i="1" s="1"/>
  <c r="P65" i="1"/>
  <c r="X65" i="1" s="1"/>
  <c r="T67" i="1"/>
  <c r="V67" i="1" s="1"/>
  <c r="P206" i="1"/>
  <c r="P90" i="1"/>
  <c r="T86" i="1"/>
  <c r="P15" i="1"/>
  <c r="O19" i="1"/>
  <c r="O21" i="1"/>
  <c r="K27" i="1"/>
  <c r="O39" i="1"/>
  <c r="O42" i="1"/>
  <c r="C50" i="1"/>
  <c r="P50" i="1"/>
  <c r="K55" i="1"/>
  <c r="J55" i="1"/>
  <c r="T51" i="1"/>
  <c r="Y60" i="1"/>
  <c r="C65" i="1"/>
  <c r="V61" i="1"/>
  <c r="V65" i="1" s="1"/>
  <c r="N65" i="1"/>
  <c r="T66" i="1"/>
  <c r="P70" i="1"/>
  <c r="W205" i="1"/>
  <c r="W85" i="1"/>
  <c r="L89" i="1"/>
  <c r="K95" i="1"/>
  <c r="T97" i="1"/>
  <c r="V97" i="1" s="1"/>
  <c r="M49" i="1"/>
  <c r="R55" i="1"/>
  <c r="L80" i="1"/>
  <c r="D19" i="1"/>
  <c r="D21" i="1"/>
  <c r="J22" i="1"/>
  <c r="L22" i="1" s="1"/>
  <c r="K23" i="1"/>
  <c r="L23" i="1" s="1"/>
  <c r="M27" i="1"/>
  <c r="N28" i="1"/>
  <c r="O29" i="1"/>
  <c r="W32" i="1"/>
  <c r="W35" i="1" s="1"/>
  <c r="O33" i="1"/>
  <c r="C36" i="1"/>
  <c r="D39" i="1"/>
  <c r="D42" i="1"/>
  <c r="J43" i="1"/>
  <c r="L43" i="1" s="1"/>
  <c r="J46" i="1"/>
  <c r="N49" i="1"/>
  <c r="S55" i="1"/>
  <c r="N55" i="1"/>
  <c r="J60" i="1"/>
  <c r="L60" i="1" s="1"/>
  <c r="T76" i="1"/>
  <c r="O90" i="1"/>
  <c r="P95" i="1"/>
  <c r="T92" i="1"/>
  <c r="V92" i="1" s="1"/>
  <c r="N110" i="1"/>
  <c r="C15" i="1"/>
  <c r="D18" i="1"/>
  <c r="J19" i="1"/>
  <c r="L19" i="1" s="1"/>
  <c r="J21" i="1"/>
  <c r="L21" i="1" s="1"/>
  <c r="N27" i="1"/>
  <c r="D34" i="1"/>
  <c r="D38" i="1"/>
  <c r="J39" i="1"/>
  <c r="L39" i="1" s="1"/>
  <c r="J42" i="1"/>
  <c r="L42" i="1" s="1"/>
  <c r="K46" i="1"/>
  <c r="S50" i="1"/>
  <c r="O49" i="1"/>
  <c r="K54" i="1"/>
  <c r="J54" i="1"/>
  <c r="D54" i="1"/>
  <c r="O54" i="1"/>
  <c r="N54" i="1"/>
  <c r="T60" i="1"/>
  <c r="AA60" i="1" s="1"/>
  <c r="V56" i="1"/>
  <c r="V60" i="1" s="1"/>
  <c r="S70" i="1"/>
  <c r="N80" i="1"/>
  <c r="M80" i="1"/>
  <c r="D80" i="1"/>
  <c r="O84" i="1"/>
  <c r="N84" i="1"/>
  <c r="M84" i="1"/>
  <c r="K84" i="1"/>
  <c r="J84" i="1"/>
  <c r="L84" i="1" s="1"/>
  <c r="T88" i="1"/>
  <c r="V88" i="1" s="1"/>
  <c r="J90" i="1"/>
  <c r="C186" i="1"/>
  <c r="C167" i="1"/>
  <c r="N91" i="1"/>
  <c r="C207" i="1"/>
  <c r="M91" i="1"/>
  <c r="C95" i="1"/>
  <c r="O91" i="1"/>
  <c r="K91" i="1"/>
  <c r="J91" i="1"/>
  <c r="D91" i="1"/>
  <c r="Q209" i="1"/>
  <c r="T101" i="1"/>
  <c r="Q105" i="1"/>
  <c r="O113" i="1"/>
  <c r="N113" i="1"/>
  <c r="M113" i="1"/>
  <c r="K113" i="1"/>
  <c r="J113" i="1"/>
  <c r="T128" i="1"/>
  <c r="V128" i="1" s="1"/>
  <c r="Q130" i="1"/>
  <c r="T46" i="1"/>
  <c r="W60" i="1"/>
  <c r="AB60" i="1" s="1"/>
  <c r="N60" i="1"/>
  <c r="M60" i="1"/>
  <c r="D60" i="1"/>
  <c r="O64" i="1"/>
  <c r="N64" i="1"/>
  <c r="M64" i="1"/>
  <c r="K64" i="1"/>
  <c r="J64" i="1"/>
  <c r="L64" i="1" s="1"/>
  <c r="O65" i="1"/>
  <c r="T68" i="1"/>
  <c r="V68" i="1" s="1"/>
  <c r="J70" i="1"/>
  <c r="Q203" i="1"/>
  <c r="T71" i="1"/>
  <c r="O80" i="1"/>
  <c r="S80" i="1"/>
  <c r="N83" i="1"/>
  <c r="M83" i="1"/>
  <c r="K83" i="1"/>
  <c r="J83" i="1"/>
  <c r="D83" i="1"/>
  <c r="D84" i="1"/>
  <c r="D205" i="1" s="1"/>
  <c r="O87" i="1"/>
  <c r="N87" i="1"/>
  <c r="M87" i="1"/>
  <c r="K87" i="1"/>
  <c r="J87" i="1"/>
  <c r="W211" i="1"/>
  <c r="W115" i="1"/>
  <c r="J130" i="1"/>
  <c r="K150" i="1"/>
  <c r="C218" i="1"/>
  <c r="C197" i="1"/>
  <c r="C201" i="1" s="1"/>
  <c r="N146" i="1"/>
  <c r="C178" i="1"/>
  <c r="M146" i="1"/>
  <c r="C150" i="1"/>
  <c r="O146" i="1"/>
  <c r="K146" i="1"/>
  <c r="J146" i="1"/>
  <c r="M150" i="1"/>
  <c r="M53" i="1"/>
  <c r="M56" i="1"/>
  <c r="N57" i="1"/>
  <c r="O58" i="1"/>
  <c r="O61" i="1"/>
  <c r="S203" i="1"/>
  <c r="M73" i="1"/>
  <c r="N74" i="1"/>
  <c r="N77" i="1"/>
  <c r="O78" i="1"/>
  <c r="Q206" i="1"/>
  <c r="S207" i="1"/>
  <c r="S95" i="1"/>
  <c r="N100" i="1"/>
  <c r="D169" i="1"/>
  <c r="O115" i="1"/>
  <c r="C193" i="1"/>
  <c r="C174" i="1"/>
  <c r="N126" i="1"/>
  <c r="M126" i="1"/>
  <c r="C214" i="1"/>
  <c r="C130" i="1"/>
  <c r="O126" i="1"/>
  <c r="K126" i="1"/>
  <c r="J126" i="1"/>
  <c r="K130" i="1"/>
  <c r="K138" i="1"/>
  <c r="O138" i="1"/>
  <c r="N138" i="1"/>
  <c r="M138" i="1"/>
  <c r="J138" i="1"/>
  <c r="D146" i="1"/>
  <c r="N150" i="1"/>
  <c r="O57" i="1"/>
  <c r="O74" i="1"/>
  <c r="C75" i="1"/>
  <c r="J75" i="1" s="1"/>
  <c r="W204" i="1"/>
  <c r="O77" i="1"/>
  <c r="C165" i="1"/>
  <c r="C184" i="1"/>
  <c r="C205" i="1"/>
  <c r="P205" i="1"/>
  <c r="R206" i="1"/>
  <c r="O100" i="1"/>
  <c r="K103" i="1"/>
  <c r="J103" i="1"/>
  <c r="D103" i="1"/>
  <c r="D188" i="1" s="1"/>
  <c r="O103" i="1"/>
  <c r="C105" i="1"/>
  <c r="O105" i="1" s="1"/>
  <c r="N103" i="1"/>
  <c r="T104" i="1"/>
  <c r="V104" i="1" s="1"/>
  <c r="Q115" i="1"/>
  <c r="C212" i="1"/>
  <c r="C172" i="1"/>
  <c r="O116" i="1"/>
  <c r="C191" i="1"/>
  <c r="N116" i="1"/>
  <c r="M116" i="1"/>
  <c r="C120" i="1"/>
  <c r="K120" i="1" s="1"/>
  <c r="K116" i="1"/>
  <c r="J116" i="1"/>
  <c r="L116" i="1" s="1"/>
  <c r="D126" i="1"/>
  <c r="J135" i="1"/>
  <c r="L135" i="1" s="1"/>
  <c r="M135" i="1"/>
  <c r="D138" i="1"/>
  <c r="O144" i="1"/>
  <c r="N144" i="1"/>
  <c r="M144" i="1"/>
  <c r="K144" i="1"/>
  <c r="J144" i="1"/>
  <c r="T149" i="1"/>
  <c r="V149" i="1" s="1"/>
  <c r="J155" i="1"/>
  <c r="D184" i="1"/>
  <c r="D165" i="1"/>
  <c r="Q205" i="1"/>
  <c r="P85" i="1"/>
  <c r="S206" i="1"/>
  <c r="S90" i="1"/>
  <c r="O92" i="1"/>
  <c r="N92" i="1"/>
  <c r="M92" i="1"/>
  <c r="K92" i="1"/>
  <c r="Q208" i="1"/>
  <c r="Q100" i="1"/>
  <c r="T96" i="1"/>
  <c r="N109" i="1"/>
  <c r="M109" i="1"/>
  <c r="K109" i="1"/>
  <c r="J109" i="1"/>
  <c r="D109" i="1"/>
  <c r="T211" i="1"/>
  <c r="T115" i="1"/>
  <c r="AA115" i="1" s="1"/>
  <c r="V111" i="1"/>
  <c r="D212" i="1"/>
  <c r="D191" i="1"/>
  <c r="D172" i="1"/>
  <c r="T118" i="1"/>
  <c r="V118" i="1" s="1"/>
  <c r="O124" i="1"/>
  <c r="N124" i="1"/>
  <c r="M124" i="1"/>
  <c r="K124" i="1"/>
  <c r="J124" i="1"/>
  <c r="W217" i="1"/>
  <c r="W145" i="1"/>
  <c r="D57" i="1"/>
  <c r="J58" i="1"/>
  <c r="L58" i="1" s="1"/>
  <c r="J61" i="1"/>
  <c r="W203" i="1"/>
  <c r="D74" i="1"/>
  <c r="C183" i="1"/>
  <c r="C204" i="1"/>
  <c r="C164" i="1"/>
  <c r="P204" i="1"/>
  <c r="D77" i="1"/>
  <c r="J78" i="1"/>
  <c r="L78" i="1" s="1"/>
  <c r="W80" i="1"/>
  <c r="J81" i="1"/>
  <c r="R205" i="1"/>
  <c r="Q85" i="1"/>
  <c r="D92" i="1"/>
  <c r="D168" i="1"/>
  <c r="R208" i="1"/>
  <c r="R100" i="1"/>
  <c r="N105" i="1"/>
  <c r="C189" i="1"/>
  <c r="C210" i="1"/>
  <c r="C170" i="1"/>
  <c r="K106" i="1"/>
  <c r="J106" i="1"/>
  <c r="L106" i="1" s="1"/>
  <c r="D106" i="1"/>
  <c r="O106" i="1"/>
  <c r="N106" i="1"/>
  <c r="O109" i="1"/>
  <c r="P212" i="1"/>
  <c r="T116" i="1"/>
  <c r="S120" i="1"/>
  <c r="W213" i="1"/>
  <c r="W125" i="1"/>
  <c r="D124" i="1"/>
  <c r="Q214" i="1"/>
  <c r="M142" i="1"/>
  <c r="O142" i="1"/>
  <c r="N142" i="1"/>
  <c r="K142" i="1"/>
  <c r="J142" i="1"/>
  <c r="D142" i="1"/>
  <c r="R218" i="1"/>
  <c r="T146" i="1"/>
  <c r="D53" i="1"/>
  <c r="D56" i="1"/>
  <c r="J57" i="1"/>
  <c r="L57" i="1" s="1"/>
  <c r="K61" i="1"/>
  <c r="D73" i="1"/>
  <c r="J74" i="1"/>
  <c r="L74" i="1" s="1"/>
  <c r="D76" i="1"/>
  <c r="Q204" i="1"/>
  <c r="J77" i="1"/>
  <c r="L77" i="1" s="1"/>
  <c r="P80" i="1"/>
  <c r="K81" i="1"/>
  <c r="S205" i="1"/>
  <c r="R85" i="1"/>
  <c r="J92" i="1"/>
  <c r="L92" i="1" s="1"/>
  <c r="T93" i="1"/>
  <c r="V93" i="1" s="1"/>
  <c r="S208" i="1"/>
  <c r="S100" i="1"/>
  <c r="K100" i="1"/>
  <c r="L100" i="1" s="1"/>
  <c r="J110" i="1"/>
  <c r="Q212" i="1"/>
  <c r="Q120" i="1"/>
  <c r="M122" i="1"/>
  <c r="O122" i="1"/>
  <c r="N122" i="1"/>
  <c r="K122" i="1"/>
  <c r="J122" i="1"/>
  <c r="D122" i="1"/>
  <c r="R214" i="1"/>
  <c r="R130" i="1"/>
  <c r="T126" i="1"/>
  <c r="S218" i="1"/>
  <c r="S150" i="1"/>
  <c r="K155" i="1"/>
  <c r="D155" i="1"/>
  <c r="M155" i="1"/>
  <c r="Q155" i="1"/>
  <c r="Q219" i="1"/>
  <c r="T151" i="1"/>
  <c r="C203" i="1"/>
  <c r="C182" i="1"/>
  <c r="C163" i="1"/>
  <c r="P203" i="1"/>
  <c r="W75" i="1"/>
  <c r="J76" i="1"/>
  <c r="L76" i="1" s="1"/>
  <c r="Q80" i="1"/>
  <c r="T81" i="1"/>
  <c r="C85" i="1"/>
  <c r="S85" i="1"/>
  <c r="W206" i="1"/>
  <c r="D89" i="1"/>
  <c r="K90" i="1"/>
  <c r="P207" i="1"/>
  <c r="T91" i="1"/>
  <c r="M100" i="1"/>
  <c r="M106" i="1"/>
  <c r="V108" i="1"/>
  <c r="L118" i="1"/>
  <c r="N120" i="1"/>
  <c r="S214" i="1"/>
  <c r="S130" i="1"/>
  <c r="P215" i="1"/>
  <c r="V136" i="1"/>
  <c r="T144" i="1"/>
  <c r="V144" i="1" s="1"/>
  <c r="S209" i="1"/>
  <c r="S105" i="1"/>
  <c r="W210" i="1"/>
  <c r="C211" i="1"/>
  <c r="C190" i="1"/>
  <c r="R212" i="1"/>
  <c r="M130" i="1"/>
  <c r="O135" i="1"/>
  <c r="T139" i="1"/>
  <c r="V139" i="1" s="1"/>
  <c r="D219" i="1"/>
  <c r="D179" i="1"/>
  <c r="R155" i="1"/>
  <c r="R219" i="1"/>
  <c r="N153" i="1"/>
  <c r="M153" i="1"/>
  <c r="K153" i="1"/>
  <c r="J153" i="1"/>
  <c r="D153" i="1"/>
  <c r="D198" i="1" s="1"/>
  <c r="O153" i="1"/>
  <c r="R207" i="1"/>
  <c r="M94" i="1"/>
  <c r="M97" i="1"/>
  <c r="N98" i="1"/>
  <c r="D108" i="1"/>
  <c r="D111" i="1"/>
  <c r="Q211" i="1"/>
  <c r="P115" i="1"/>
  <c r="X115" i="1" s="1"/>
  <c r="S212" i="1"/>
  <c r="M118" i="1"/>
  <c r="N119" i="1"/>
  <c r="R120" i="1"/>
  <c r="T121" i="1"/>
  <c r="W214" i="1"/>
  <c r="D175" i="1"/>
  <c r="K134" i="1"/>
  <c r="J134" i="1"/>
  <c r="K137" i="1"/>
  <c r="J137" i="1"/>
  <c r="P217" i="1"/>
  <c r="T141" i="1"/>
  <c r="W218" i="1"/>
  <c r="N155" i="1"/>
  <c r="S216" i="1"/>
  <c r="R211" i="1"/>
  <c r="Q213" i="1"/>
  <c r="N123" i="1"/>
  <c r="M123" i="1"/>
  <c r="O127" i="1"/>
  <c r="N127" i="1"/>
  <c r="Q135" i="1"/>
  <c r="P216" i="1"/>
  <c r="P140" i="1"/>
  <c r="Q217" i="1"/>
  <c r="N143" i="1"/>
  <c r="M143" i="1"/>
  <c r="O147" i="1"/>
  <c r="N147" i="1"/>
  <c r="P209" i="1"/>
  <c r="P211" i="1"/>
  <c r="P213" i="1"/>
  <c r="R215" i="1"/>
  <c r="O94" i="1"/>
  <c r="W208" i="1"/>
  <c r="O97" i="1"/>
  <c r="W209" i="1"/>
  <c r="Q210" i="1"/>
  <c r="K108" i="1"/>
  <c r="L108" i="1" s="1"/>
  <c r="K111" i="1"/>
  <c r="L111" i="1" s="1"/>
  <c r="S211" i="1"/>
  <c r="R115" i="1"/>
  <c r="O118" i="1"/>
  <c r="C173" i="1"/>
  <c r="C125" i="1"/>
  <c r="D125" i="1" s="1"/>
  <c r="C213" i="1"/>
  <c r="K121" i="1"/>
  <c r="C192" i="1"/>
  <c r="R213" i="1"/>
  <c r="R125" i="1"/>
  <c r="D123" i="1"/>
  <c r="D192" i="1" s="1"/>
  <c r="D127" i="1"/>
  <c r="T131" i="1"/>
  <c r="Q216" i="1"/>
  <c r="D139" i="1"/>
  <c r="C217" i="1"/>
  <c r="C196" i="1"/>
  <c r="C177" i="1"/>
  <c r="C145" i="1"/>
  <c r="D145" i="1" s="1"/>
  <c r="K141" i="1"/>
  <c r="R217" i="1"/>
  <c r="R145" i="1"/>
  <c r="D143" i="1"/>
  <c r="D147" i="1"/>
  <c r="F222" i="1"/>
  <c r="D98" i="1"/>
  <c r="D208" i="1" s="1"/>
  <c r="W105" i="1"/>
  <c r="R210" i="1"/>
  <c r="Q110" i="1"/>
  <c r="C115" i="1"/>
  <c r="K115" i="1" s="1"/>
  <c r="W212" i="1"/>
  <c r="D173" i="1"/>
  <c r="S213" i="1"/>
  <c r="J123" i="1"/>
  <c r="P214" i="1"/>
  <c r="J127" i="1"/>
  <c r="J133" i="1"/>
  <c r="D133" i="1"/>
  <c r="D194" i="1" s="1"/>
  <c r="N135" i="1"/>
  <c r="S135" i="1"/>
  <c r="C216" i="1"/>
  <c r="C195" i="1"/>
  <c r="C176" i="1"/>
  <c r="J136" i="1"/>
  <c r="D136" i="1"/>
  <c r="R216" i="1"/>
  <c r="T138" i="1"/>
  <c r="V138" i="1" s="1"/>
  <c r="J139" i="1"/>
  <c r="S145" i="1"/>
  <c r="J143" i="1"/>
  <c r="P218" i="1"/>
  <c r="J147" i="1"/>
  <c r="W155" i="1"/>
  <c r="W219" i="1"/>
  <c r="D215" i="1"/>
  <c r="W207" i="1"/>
  <c r="C187" i="1"/>
  <c r="C168" i="1"/>
  <c r="C208" i="1"/>
  <c r="C188" i="1"/>
  <c r="C169" i="1"/>
  <c r="C209" i="1"/>
  <c r="S210" i="1"/>
  <c r="R110" i="1"/>
  <c r="M111" i="1"/>
  <c r="J121" i="1"/>
  <c r="T122" i="1"/>
  <c r="V122" i="1" s="1"/>
  <c r="K123" i="1"/>
  <c r="P125" i="1"/>
  <c r="K127" i="1"/>
  <c r="W215" i="1"/>
  <c r="W135" i="1"/>
  <c r="K133" i="1"/>
  <c r="N134" i="1"/>
  <c r="K136" i="1"/>
  <c r="N137" i="1"/>
  <c r="K139" i="1"/>
  <c r="C140" i="1"/>
  <c r="O140" i="1" s="1"/>
  <c r="J141" i="1"/>
  <c r="T142" i="1"/>
  <c r="V142" i="1" s="1"/>
  <c r="K143" i="1"/>
  <c r="P145" i="1"/>
  <c r="Q218" i="1"/>
  <c r="K147" i="1"/>
  <c r="P150" i="1"/>
  <c r="O155" i="1"/>
  <c r="C215" i="1"/>
  <c r="S217" i="1"/>
  <c r="O131" i="1"/>
  <c r="O151" i="1"/>
  <c r="J154" i="1"/>
  <c r="S125" i="1"/>
  <c r="Q140" i="1"/>
  <c r="K154" i="1"/>
  <c r="P219" i="1"/>
  <c r="C219" i="1"/>
  <c r="M154" i="1"/>
  <c r="C175" i="1"/>
  <c r="N154" i="1"/>
  <c r="S219" i="1"/>
  <c r="AA160" i="1" l="1"/>
  <c r="Y160" i="1"/>
  <c r="Z160" i="1"/>
  <c r="AC5" i="16"/>
  <c r="Z8" i="16"/>
  <c r="AA8" i="16" s="1"/>
  <c r="AC7" i="16"/>
  <c r="AC6" i="16"/>
  <c r="AC4" i="16"/>
  <c r="L54" i="1"/>
  <c r="L139" i="1"/>
  <c r="L24" i="1"/>
  <c r="L141" i="1"/>
  <c r="L124" i="1"/>
  <c r="L144" i="1"/>
  <c r="L103" i="1"/>
  <c r="L55" i="1"/>
  <c r="X11" i="16"/>
  <c r="L134" i="1"/>
  <c r="L9" i="1"/>
  <c r="L153" i="1"/>
  <c r="L26" i="1"/>
  <c r="T45" i="1"/>
  <c r="AA45" i="1" s="1"/>
  <c r="L147" i="1"/>
  <c r="L127" i="1"/>
  <c r="L61" i="1"/>
  <c r="L91" i="1"/>
  <c r="L86" i="1"/>
  <c r="L48" i="1"/>
  <c r="D217" i="1"/>
  <c r="X45" i="1"/>
  <c r="D203" i="1"/>
  <c r="D187" i="1"/>
  <c r="L126" i="1"/>
  <c r="L20" i="1"/>
  <c r="L110" i="1"/>
  <c r="V21" i="1"/>
  <c r="V25" i="1" s="1"/>
  <c r="T25" i="1"/>
  <c r="AB25" i="1" s="1"/>
  <c r="D196" i="1"/>
  <c r="L12" i="1"/>
  <c r="D213" i="1"/>
  <c r="L138" i="1"/>
  <c r="L112" i="1"/>
  <c r="X145" i="1"/>
  <c r="AB105" i="1"/>
  <c r="V141" i="1"/>
  <c r="T217" i="1"/>
  <c r="T145" i="1"/>
  <c r="T214" i="1"/>
  <c r="T130" i="1"/>
  <c r="V126" i="1"/>
  <c r="AB145" i="1"/>
  <c r="N75" i="1"/>
  <c r="M75" i="1"/>
  <c r="L154" i="1"/>
  <c r="J125" i="1"/>
  <c r="L137" i="1"/>
  <c r="M120" i="1"/>
  <c r="D183" i="1"/>
  <c r="D164" i="1"/>
  <c r="D204" i="1"/>
  <c r="L81" i="1"/>
  <c r="K140" i="1"/>
  <c r="D174" i="1"/>
  <c r="D214" i="1"/>
  <c r="D193" i="1"/>
  <c r="D218" i="1"/>
  <c r="D222" i="1" s="1"/>
  <c r="D197" i="1"/>
  <c r="D178" i="1"/>
  <c r="L87" i="1"/>
  <c r="L83" i="1"/>
  <c r="L113" i="1"/>
  <c r="L46" i="1"/>
  <c r="T70" i="1"/>
  <c r="AA70" i="1" s="1"/>
  <c r="V66" i="1"/>
  <c r="V70" i="1" s="1"/>
  <c r="AA65" i="1"/>
  <c r="T36" i="1"/>
  <c r="P40" i="1"/>
  <c r="L66" i="1"/>
  <c r="K31" i="1"/>
  <c r="L31" i="1" s="1"/>
  <c r="L13" i="1"/>
  <c r="V216" i="1"/>
  <c r="V140" i="1"/>
  <c r="D85" i="1"/>
  <c r="M85" i="1"/>
  <c r="O125" i="1"/>
  <c r="O145" i="1"/>
  <c r="D186" i="1"/>
  <c r="D167" i="1"/>
  <c r="D207" i="1"/>
  <c r="D50" i="1"/>
  <c r="O50" i="1"/>
  <c r="N50" i="1"/>
  <c r="J50" i="1"/>
  <c r="T205" i="1"/>
  <c r="T85" i="1"/>
  <c r="Y85" i="1" s="1"/>
  <c r="V81" i="1"/>
  <c r="T219" i="1"/>
  <c r="T155" i="1"/>
  <c r="Y155" i="1" s="1"/>
  <c r="V151" i="1"/>
  <c r="N145" i="1"/>
  <c r="D150" i="1"/>
  <c r="O150" i="1"/>
  <c r="J150" i="1"/>
  <c r="L150" i="1" s="1"/>
  <c r="L130" i="1"/>
  <c r="A186" i="1"/>
  <c r="A187" i="1" s="1"/>
  <c r="Z60" i="1"/>
  <c r="D182" i="1"/>
  <c r="D70" i="1"/>
  <c r="O70" i="1"/>
  <c r="N70" i="1"/>
  <c r="V45" i="1"/>
  <c r="S35" i="1"/>
  <c r="T30" i="1"/>
  <c r="V26" i="1"/>
  <c r="V30" i="1" s="1"/>
  <c r="M125" i="1"/>
  <c r="T150" i="1"/>
  <c r="X150" i="1" s="1"/>
  <c r="V146" i="1"/>
  <c r="T218" i="1"/>
  <c r="D189" i="1"/>
  <c r="D210" i="1"/>
  <c r="D170" i="1"/>
  <c r="T206" i="1"/>
  <c r="V86" i="1"/>
  <c r="T90" i="1"/>
  <c r="X90" i="1" s="1"/>
  <c r="T10" i="1"/>
  <c r="V6" i="1"/>
  <c r="V10" i="1" s="1"/>
  <c r="J145" i="1"/>
  <c r="L121" i="1"/>
  <c r="L143" i="1"/>
  <c r="D195" i="1"/>
  <c r="D176" i="1"/>
  <c r="D216" i="1"/>
  <c r="L133" i="1"/>
  <c r="D115" i="1"/>
  <c r="M115" i="1"/>
  <c r="N115" i="1"/>
  <c r="Z145" i="1"/>
  <c r="Y135" i="1"/>
  <c r="AA130" i="1"/>
  <c r="T207" i="1"/>
  <c r="T95" i="1"/>
  <c r="X95" i="1" s="1"/>
  <c r="V91" i="1"/>
  <c r="L122" i="1"/>
  <c r="M145" i="1"/>
  <c r="V211" i="1"/>
  <c r="V115" i="1"/>
  <c r="L155" i="1"/>
  <c r="J140" i="1"/>
  <c r="J115" i="1"/>
  <c r="L115" i="1" s="1"/>
  <c r="AB115" i="1"/>
  <c r="L90" i="1"/>
  <c r="D15" i="1"/>
  <c r="M15" i="1"/>
  <c r="T204" i="1"/>
  <c r="T80" i="1"/>
  <c r="Y80" i="1" s="1"/>
  <c r="V76" i="1"/>
  <c r="AB85" i="1"/>
  <c r="D65" i="1"/>
  <c r="M65" i="1"/>
  <c r="D30" i="1"/>
  <c r="N30" i="1"/>
  <c r="O30" i="1"/>
  <c r="T15" i="1"/>
  <c r="V11" i="1"/>
  <c r="V15" i="1" s="1"/>
  <c r="T210" i="1"/>
  <c r="T110" i="1"/>
  <c r="V106" i="1"/>
  <c r="AB135" i="1"/>
  <c r="T212" i="1"/>
  <c r="T120" i="1"/>
  <c r="V116" i="1"/>
  <c r="Y115" i="1"/>
  <c r="N85" i="1"/>
  <c r="X10" i="1"/>
  <c r="T31" i="1"/>
  <c r="P35" i="1"/>
  <c r="L136" i="1"/>
  <c r="T215" i="1"/>
  <c r="T135" i="1"/>
  <c r="AA135" i="1" s="1"/>
  <c r="V131" i="1"/>
  <c r="T140" i="1"/>
  <c r="U115" i="1"/>
  <c r="AA90" i="1"/>
  <c r="D120" i="1"/>
  <c r="J120" i="1"/>
  <c r="L120" i="1" s="1"/>
  <c r="O120" i="1"/>
  <c r="D75" i="1"/>
  <c r="K75" i="1"/>
  <c r="L75" i="1" s="1"/>
  <c r="AA80" i="1"/>
  <c r="M36" i="1"/>
  <c r="D36" i="1"/>
  <c r="C40" i="1"/>
  <c r="K40" i="1" s="1"/>
  <c r="N36" i="1"/>
  <c r="O36" i="1"/>
  <c r="M32" i="1"/>
  <c r="D32" i="1"/>
  <c r="J32" i="1"/>
  <c r="K50" i="1"/>
  <c r="K36" i="1"/>
  <c r="Y140" i="1"/>
  <c r="Z110" i="1"/>
  <c r="D177" i="1"/>
  <c r="N125" i="1"/>
  <c r="T216" i="1"/>
  <c r="X80" i="1"/>
  <c r="L142" i="1"/>
  <c r="K125" i="1"/>
  <c r="K145" i="1"/>
  <c r="T208" i="1"/>
  <c r="T100" i="1"/>
  <c r="Y100" i="1" s="1"/>
  <c r="V96" i="1"/>
  <c r="D130" i="1"/>
  <c r="O130" i="1"/>
  <c r="N130" i="1"/>
  <c r="D209" i="1"/>
  <c r="J85" i="1"/>
  <c r="T50" i="1"/>
  <c r="AA50" i="1" s="1"/>
  <c r="V46" i="1"/>
  <c r="V50" i="1" s="1"/>
  <c r="D95" i="1"/>
  <c r="O95" i="1"/>
  <c r="N95" i="1"/>
  <c r="J95" i="1"/>
  <c r="L95" i="1" s="1"/>
  <c r="O85" i="1"/>
  <c r="J36" i="1"/>
  <c r="O75" i="1"/>
  <c r="V51" i="1"/>
  <c r="V55" i="1" s="1"/>
  <c r="T55" i="1"/>
  <c r="Z55" i="1" s="1"/>
  <c r="O31" i="1"/>
  <c r="D166" i="1"/>
  <c r="D185" i="1"/>
  <c r="D206" i="1"/>
  <c r="K70" i="1"/>
  <c r="L70" i="1" s="1"/>
  <c r="O25" i="1"/>
  <c r="N25" i="1"/>
  <c r="K25" i="1"/>
  <c r="L25" i="1" s="1"/>
  <c r="D25" i="1"/>
  <c r="K65" i="1"/>
  <c r="L65" i="1" s="1"/>
  <c r="Y45" i="1"/>
  <c r="T20" i="1"/>
  <c r="AA20" i="1" s="1"/>
  <c r="K15" i="1"/>
  <c r="L15" i="1" s="1"/>
  <c r="X110" i="1"/>
  <c r="AA145" i="1"/>
  <c r="L123" i="1"/>
  <c r="D211" i="1"/>
  <c r="D190" i="1"/>
  <c r="D171" i="1"/>
  <c r="Y130" i="1"/>
  <c r="O32" i="1"/>
  <c r="Y110" i="1"/>
  <c r="AA125" i="1"/>
  <c r="N140" i="1"/>
  <c r="D140" i="1"/>
  <c r="M140" i="1"/>
  <c r="AA100" i="1"/>
  <c r="X85" i="1"/>
  <c r="K85" i="1"/>
  <c r="U65" i="1"/>
  <c r="AB65" i="1"/>
  <c r="M50" i="1"/>
  <c r="D31" i="1"/>
  <c r="C35" i="1"/>
  <c r="M31" i="1"/>
  <c r="N31" i="1"/>
  <c r="X125" i="1"/>
  <c r="Z125" i="1"/>
  <c r="Z115" i="1"/>
  <c r="T213" i="1"/>
  <c r="V121" i="1"/>
  <c r="T125" i="1"/>
  <c r="Z130" i="1"/>
  <c r="AB125" i="1"/>
  <c r="L109" i="1"/>
  <c r="D105" i="1"/>
  <c r="K105" i="1"/>
  <c r="M105" i="1"/>
  <c r="J105" i="1"/>
  <c r="L146" i="1"/>
  <c r="C222" i="1"/>
  <c r="T203" i="1"/>
  <c r="T75" i="1"/>
  <c r="V71" i="1"/>
  <c r="T209" i="1"/>
  <c r="T105" i="1"/>
  <c r="Y105" i="1" s="1"/>
  <c r="V101" i="1"/>
  <c r="A207" i="1"/>
  <c r="A208" i="1" s="1"/>
  <c r="M95" i="1"/>
  <c r="X15" i="1"/>
  <c r="L27" i="1"/>
  <c r="L67" i="1"/>
  <c r="Z65" i="1"/>
  <c r="M30" i="1"/>
  <c r="K32" i="1"/>
  <c r="J35" i="1"/>
  <c r="L140" i="1" l="1"/>
  <c r="L145" i="1"/>
  <c r="Z45" i="1"/>
  <c r="AB45" i="1"/>
  <c r="Y25" i="1"/>
  <c r="AA25" i="1"/>
  <c r="X25" i="1"/>
  <c r="Z25" i="1"/>
  <c r="U120" i="1"/>
  <c r="X120" i="1"/>
  <c r="AB120" i="1"/>
  <c r="V206" i="1"/>
  <c r="V90" i="1"/>
  <c r="U60" i="1"/>
  <c r="V155" i="1"/>
  <c r="V219" i="1"/>
  <c r="L50" i="1"/>
  <c r="V217" i="1"/>
  <c r="V145" i="1"/>
  <c r="U75" i="1"/>
  <c r="X75" i="1"/>
  <c r="Y75" i="1"/>
  <c r="AA75" i="1"/>
  <c r="T35" i="1"/>
  <c r="V31" i="1"/>
  <c r="V35" i="1" s="1"/>
  <c r="AB15" i="1"/>
  <c r="Y15" i="1"/>
  <c r="AA15" i="1"/>
  <c r="Z15" i="1"/>
  <c r="V218" i="1"/>
  <c r="V150" i="1"/>
  <c r="Y120" i="1"/>
  <c r="L125" i="1"/>
  <c r="V204" i="1"/>
  <c r="V80" i="1"/>
  <c r="V207" i="1"/>
  <c r="V95" i="1"/>
  <c r="U150" i="1"/>
  <c r="Z150" i="1"/>
  <c r="Y150" i="1"/>
  <c r="AB150" i="1"/>
  <c r="V205" i="1"/>
  <c r="V85" i="1"/>
  <c r="Z75" i="1"/>
  <c r="V214" i="1"/>
  <c r="V130" i="1"/>
  <c r="X35" i="1"/>
  <c r="U55" i="1"/>
  <c r="AB55" i="1"/>
  <c r="Y55" i="1"/>
  <c r="V208" i="1"/>
  <c r="V100" i="1"/>
  <c r="AB75" i="1"/>
  <c r="L32" i="1"/>
  <c r="U140" i="1"/>
  <c r="Z140" i="1"/>
  <c r="AB140" i="1"/>
  <c r="AA140" i="1"/>
  <c r="X55" i="1"/>
  <c r="U80" i="1"/>
  <c r="Z80" i="1"/>
  <c r="U95" i="1"/>
  <c r="Z95" i="1"/>
  <c r="AB95" i="1"/>
  <c r="U85" i="1"/>
  <c r="AA150" i="1"/>
  <c r="AA55" i="1"/>
  <c r="U130" i="1"/>
  <c r="AB130" i="1"/>
  <c r="X130" i="1"/>
  <c r="V203" i="1"/>
  <c r="V75" i="1"/>
  <c r="D40" i="1"/>
  <c r="J40" i="1"/>
  <c r="L40" i="1" s="1"/>
  <c r="N40" i="1"/>
  <c r="O40" i="1"/>
  <c r="M40" i="1"/>
  <c r="U155" i="1"/>
  <c r="X155" i="1"/>
  <c r="AA155" i="1"/>
  <c r="AB155" i="1"/>
  <c r="U100" i="1"/>
  <c r="AB100" i="1"/>
  <c r="X100" i="1"/>
  <c r="V215" i="1"/>
  <c r="V135" i="1"/>
  <c r="V210" i="1"/>
  <c r="V110" i="1"/>
  <c r="Z10" i="1"/>
  <c r="AA10" i="1"/>
  <c r="AB10" i="1"/>
  <c r="Y10" i="1"/>
  <c r="AB80" i="1"/>
  <c r="Y95" i="1"/>
  <c r="V36" i="1"/>
  <c r="V40" i="1" s="1"/>
  <c r="T40" i="1"/>
  <c r="AA85" i="1"/>
  <c r="U70" i="1"/>
  <c r="AB70" i="1"/>
  <c r="Z70" i="1"/>
  <c r="Y70" i="1"/>
  <c r="U125" i="1"/>
  <c r="Y125" i="1"/>
  <c r="V209" i="1"/>
  <c r="V105" i="1"/>
  <c r="L105" i="1"/>
  <c r="V213" i="1"/>
  <c r="V125" i="1"/>
  <c r="AA105" i="1"/>
  <c r="Z20" i="1"/>
  <c r="X20" i="1"/>
  <c r="Y20" i="1"/>
  <c r="AB20" i="1"/>
  <c r="U50" i="1"/>
  <c r="Z50" i="1"/>
  <c r="AB50" i="1"/>
  <c r="Y50" i="1"/>
  <c r="X135" i="1"/>
  <c r="U135" i="1"/>
  <c r="Z135" i="1"/>
  <c r="U110" i="1"/>
  <c r="AA110" i="1"/>
  <c r="AB110" i="1"/>
  <c r="AB30" i="1"/>
  <c r="AA30" i="1"/>
  <c r="Y30" i="1"/>
  <c r="Z30" i="1"/>
  <c r="Z85" i="1"/>
  <c r="X30" i="1"/>
  <c r="Z120" i="1"/>
  <c r="U145" i="1"/>
  <c r="Y145" i="1"/>
  <c r="X70" i="1"/>
  <c r="D35" i="1"/>
  <c r="M35" i="1"/>
  <c r="K35" i="1"/>
  <c r="L35" i="1" s="1"/>
  <c r="O35" i="1"/>
  <c r="U105" i="1"/>
  <c r="X105" i="1"/>
  <c r="Z105" i="1"/>
  <c r="L36" i="1"/>
  <c r="L85" i="1"/>
  <c r="V212" i="1"/>
  <c r="V120" i="1"/>
  <c r="AA120" i="1"/>
  <c r="Z155" i="1"/>
  <c r="U90" i="1"/>
  <c r="AB90" i="1"/>
  <c r="Y90" i="1"/>
  <c r="Z90" i="1"/>
  <c r="AA35" i="1"/>
  <c r="N35" i="1"/>
  <c r="AA95" i="1"/>
  <c r="X140" i="1"/>
  <c r="X50" i="1"/>
  <c r="Z100" i="1"/>
  <c r="Y35" i="1" l="1"/>
  <c r="Z35" i="1"/>
  <c r="AB35" i="1"/>
  <c r="U40" i="1"/>
  <c r="Z40" i="1"/>
  <c r="AB40" i="1"/>
  <c r="U45" i="1"/>
  <c r="AA40" i="1"/>
  <c r="Y40" i="1"/>
  <c r="X40" i="1"/>
</calcChain>
</file>

<file path=xl/sharedStrings.xml><?xml version="1.0" encoding="utf-8"?>
<sst xmlns="http://schemas.openxmlformats.org/spreadsheetml/2006/main" count="282" uniqueCount="45">
  <si>
    <t>Kohlens. Kalk</t>
  </si>
  <si>
    <t>darin Landw.</t>
  </si>
  <si>
    <t>darin Forst</t>
  </si>
  <si>
    <t>Brannt-kalk</t>
  </si>
  <si>
    <t>HK-Kalke</t>
  </si>
  <si>
    <t>Andere Kalke</t>
  </si>
  <si>
    <t>Gesamt</t>
  </si>
  <si>
    <t>t CaO</t>
  </si>
  <si>
    <t>t Ware</t>
  </si>
  <si>
    <t>I. Quartal</t>
  </si>
  <si>
    <t>II. Quartal</t>
  </si>
  <si>
    <t>III. Quartal</t>
  </si>
  <si>
    <t>IV. Quartal</t>
  </si>
  <si>
    <t>%</t>
  </si>
  <si>
    <t>Lieferungen in t CaO</t>
  </si>
  <si>
    <t>HK- Kalke</t>
  </si>
  <si>
    <t>Forst</t>
  </si>
  <si>
    <t>Lieferungen in t Ware</t>
  </si>
  <si>
    <t>Marktanteile in % (Basis: t CaO)</t>
  </si>
  <si>
    <t>Marktanteile in % (Basis: t Ware)</t>
  </si>
  <si>
    <t>NATUR- KALK</t>
  </si>
  <si>
    <t>kumuliert</t>
  </si>
  <si>
    <t>Quelle: Statist. Bundesamt, DHG</t>
  </si>
  <si>
    <t>Branntkalk</t>
  </si>
  <si>
    <t xml:space="preserve"> </t>
  </si>
  <si>
    <t>Brannt-Kalk</t>
  </si>
  <si>
    <t>Waldkalkung</t>
  </si>
  <si>
    <t>I.+II. Quartal</t>
  </si>
  <si>
    <t>I.+II.+III. Quartal</t>
  </si>
  <si>
    <t>relativ
%</t>
  </si>
  <si>
    <t>Veränder-ung %</t>
  </si>
  <si>
    <t>I.-IV. Quartal</t>
  </si>
  <si>
    <t>Düngekalk-Absatz an die Land- und Forstwirtschaft</t>
  </si>
  <si>
    <t xml:space="preserve">        Absatz in t CaO je Düngekalktyp</t>
  </si>
  <si>
    <t>Mittel letzte 10 J.</t>
  </si>
  <si>
    <t>t Ware !</t>
  </si>
  <si>
    <t>rel. zu Vorjahr</t>
  </si>
  <si>
    <t>Mittel d.J.</t>
  </si>
  <si>
    <t>Quartale 2020
Anteil in %</t>
  </si>
  <si>
    <t>Summe von 2010 - 2020 =</t>
  </si>
  <si>
    <t>: 11 Jahre =</t>
  </si>
  <si>
    <t>rel. zu</t>
  </si>
  <si>
    <t>Düngekalk-Absatz in Deutschland - nach Quartalen, 2009 - 2020</t>
  </si>
  <si>
    <t>Stand: 01.03.2021</t>
  </si>
  <si>
    <t>Düngekalk-Absatz in Deutschland - je Quartal, 1990 - 2020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</si>
</sst>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\ ##0;#\ ###0;\-"/>
    <numFmt numFmtId="167" formatCode="0.0%"/>
  </numFmts>
  <fonts count="52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sz val="9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b/>
      <sz val="16"/>
      <color indexed="10"/>
      <name val="Arial"/>
      <family val="2"/>
    </font>
    <font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MetaNormalLF-Roman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sz val="10"/>
      <color rgb="FF008000"/>
      <name val="MetaNormalLF-Roman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8" tint="-0.249977111117893"/>
      <name val="Arial"/>
      <family val="2"/>
    </font>
    <font>
      <sz val="10"/>
      <color rgb="FF008000"/>
      <name val="MetaNormalLF-Roman"/>
    </font>
    <font>
      <sz val="10"/>
      <name val="MetaNormalLF-Roman"/>
    </font>
    <font>
      <i/>
      <sz val="10"/>
      <name val="MetaNormalLF-Roman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C8B7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10"/>
      </left>
      <right style="thick">
        <color indexed="10"/>
      </right>
      <top style="medium">
        <color indexed="10"/>
      </top>
      <bottom/>
      <diagonal/>
    </border>
    <border>
      <left style="medium">
        <color indexed="10"/>
      </left>
      <right style="thick">
        <color indexed="10"/>
      </right>
      <top/>
      <bottom/>
      <diagonal/>
    </border>
    <border>
      <left style="medium">
        <color indexed="10"/>
      </left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thick">
        <color indexed="10"/>
      </bottom>
      <diagonal/>
    </border>
    <border>
      <left style="medium">
        <color indexed="10"/>
      </left>
      <right/>
      <top style="thick">
        <color indexed="10"/>
      </top>
      <bottom style="medium">
        <color indexed="10"/>
      </bottom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ck">
        <color indexed="10"/>
      </right>
      <top style="thick">
        <color indexed="10"/>
      </top>
      <bottom style="thin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medium">
        <color indexed="10"/>
      </bottom>
      <diagonal/>
    </border>
    <border>
      <left style="thick">
        <color indexed="10"/>
      </left>
      <right style="thick">
        <color rgb="FFFF0000"/>
      </right>
      <top style="thick">
        <color indexed="10"/>
      </top>
      <bottom style="medium">
        <color indexed="10"/>
      </bottom>
      <diagonal/>
    </border>
    <border>
      <left style="thick">
        <color rgb="FFFF0000"/>
      </left>
      <right style="thick">
        <color indexed="10"/>
      </right>
      <top style="thick">
        <color indexed="10"/>
      </top>
      <bottom style="medium">
        <color indexed="1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 style="thick">
        <color indexed="10"/>
      </left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indexed="10"/>
      </bottom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 style="thick">
        <color rgb="FFFF0000"/>
      </left>
      <right/>
      <top style="thick">
        <color indexed="10"/>
      </top>
      <bottom style="thick">
        <color indexed="10"/>
      </bottom>
      <diagonal/>
    </border>
    <border>
      <left style="thick">
        <color rgb="FFFF000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rgb="FFFF0000"/>
      </left>
      <right style="thick">
        <color indexed="10"/>
      </right>
      <top/>
      <bottom style="thick">
        <color indexed="1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indexed="10"/>
      </top>
      <bottom/>
      <diagonal/>
    </border>
  </borders>
  <cellStyleXfs count="2">
    <xf numFmtId="0" fontId="0" fillId="0" borderId="0"/>
    <xf numFmtId="0" fontId="37" fillId="0" borderId="0"/>
  </cellStyleXfs>
  <cellXfs count="317">
    <xf numFmtId="0" fontId="0" fillId="0" borderId="0" xfId="0"/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0" fontId="5" fillId="0" borderId="0" xfId="0" applyFont="1"/>
    <xf numFmtId="3" fontId="2" fillId="0" borderId="1" xfId="0" applyNumberFormat="1" applyFont="1" applyBorder="1"/>
    <xf numFmtId="3" fontId="8" fillId="0" borderId="2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5" fillId="0" borderId="1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6" xfId="0" applyNumberFormat="1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/>
    </xf>
    <xf numFmtId="3" fontId="14" fillId="0" borderId="8" xfId="0" applyNumberFormat="1" applyFont="1" applyBorder="1"/>
    <xf numFmtId="3" fontId="15" fillId="0" borderId="8" xfId="0" applyNumberFormat="1" applyFont="1" applyBorder="1"/>
    <xf numFmtId="3" fontId="16" fillId="0" borderId="8" xfId="0" applyNumberFormat="1" applyFont="1" applyBorder="1"/>
    <xf numFmtId="3" fontId="7" fillId="0" borderId="6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6" fillId="0" borderId="8" xfId="0" applyNumberFormat="1" applyFont="1" applyBorder="1"/>
    <xf numFmtId="3" fontId="3" fillId="0" borderId="0" xfId="0" applyNumberFormat="1" applyFont="1"/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/>
    </xf>
    <xf numFmtId="3" fontId="5" fillId="0" borderId="8" xfId="0" applyNumberFormat="1" applyFont="1" applyBorder="1"/>
    <xf numFmtId="3" fontId="2" fillId="0" borderId="8" xfId="0" applyNumberFormat="1" applyFont="1" applyBorder="1"/>
    <xf numFmtId="3" fontId="18" fillId="0" borderId="6" xfId="0" applyNumberFormat="1" applyFont="1" applyBorder="1" applyAlignment="1">
      <alignment horizontal="center" wrapText="1"/>
    </xf>
    <xf numFmtId="3" fontId="16" fillId="0" borderId="0" xfId="0" applyNumberFormat="1" applyFont="1"/>
    <xf numFmtId="3" fontId="8" fillId="0" borderId="0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6" fillId="0" borderId="0" xfId="0" applyNumberFormat="1" applyFont="1" applyBorder="1"/>
    <xf numFmtId="3" fontId="22" fillId="0" borderId="9" xfId="0" applyNumberFormat="1" applyFont="1" applyBorder="1"/>
    <xf numFmtId="165" fontId="24" fillId="0" borderId="0" xfId="0" applyNumberFormat="1" applyFont="1"/>
    <xf numFmtId="165" fontId="25" fillId="0" borderId="2" xfId="0" applyNumberFormat="1" applyFont="1" applyBorder="1" applyAlignment="1">
      <alignment horizontal="center" wrapText="1"/>
    </xf>
    <xf numFmtId="165" fontId="25" fillId="0" borderId="4" xfId="0" applyNumberFormat="1" applyFont="1" applyBorder="1" applyAlignment="1">
      <alignment horizontal="center"/>
    </xf>
    <xf numFmtId="165" fontId="24" fillId="0" borderId="0" xfId="0" applyNumberFormat="1" applyFont="1" applyBorder="1"/>
    <xf numFmtId="0" fontId="8" fillId="0" borderId="10" xfId="0" applyFont="1" applyBorder="1" applyAlignment="1">
      <alignment horizontal="center"/>
    </xf>
    <xf numFmtId="0" fontId="3" fillId="0" borderId="11" xfId="0" applyFont="1" applyBorder="1"/>
    <xf numFmtId="3" fontId="21" fillId="0" borderId="6" xfId="0" applyNumberFormat="1" applyFont="1" applyBorder="1" applyAlignment="1">
      <alignment horizontal="center" wrapText="1"/>
    </xf>
    <xf numFmtId="3" fontId="21" fillId="0" borderId="7" xfId="0" applyNumberFormat="1" applyFont="1" applyBorder="1" applyAlignment="1">
      <alignment horizontal="center"/>
    </xf>
    <xf numFmtId="3" fontId="22" fillId="0" borderId="8" xfId="0" applyNumberFormat="1" applyFont="1" applyBorder="1"/>
    <xf numFmtId="3" fontId="23" fillId="0" borderId="8" xfId="0" applyNumberFormat="1" applyFont="1" applyBorder="1"/>
    <xf numFmtId="3" fontId="0" fillId="0" borderId="0" xfId="0" applyNumberFormat="1" applyBorder="1"/>
    <xf numFmtId="0" fontId="27" fillId="0" borderId="0" xfId="0" applyFont="1" applyBorder="1"/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/>
    <xf numFmtId="0" fontId="31" fillId="0" borderId="12" xfId="0" applyFont="1" applyBorder="1"/>
    <xf numFmtId="3" fontId="31" fillId="0" borderId="13" xfId="0" applyNumberFormat="1" applyFont="1" applyBorder="1"/>
    <xf numFmtId="3" fontId="31" fillId="0" borderId="14" xfId="0" applyNumberFormat="1" applyFont="1" applyBorder="1"/>
    <xf numFmtId="3" fontId="17" fillId="0" borderId="12" xfId="0" applyNumberFormat="1" applyFont="1" applyBorder="1"/>
    <xf numFmtId="165" fontId="32" fillId="0" borderId="13" xfId="0" applyNumberFormat="1" applyFont="1" applyBorder="1"/>
    <xf numFmtId="3" fontId="31" fillId="0" borderId="12" xfId="0" applyNumberFormat="1" applyFont="1" applyBorder="1"/>
    <xf numFmtId="3" fontId="33" fillId="0" borderId="12" xfId="0" applyNumberFormat="1" applyFont="1" applyBorder="1"/>
    <xf numFmtId="164" fontId="31" fillId="0" borderId="13" xfId="0" applyNumberFormat="1" applyFont="1" applyBorder="1"/>
    <xf numFmtId="164" fontId="17" fillId="0" borderId="13" xfId="0" applyNumberFormat="1" applyFont="1" applyBorder="1"/>
    <xf numFmtId="164" fontId="34" fillId="0" borderId="12" xfId="0" applyNumberFormat="1" applyFont="1" applyBorder="1"/>
    <xf numFmtId="0" fontId="35" fillId="0" borderId="0" xfId="0" applyFont="1"/>
    <xf numFmtId="165" fontId="13" fillId="0" borderId="6" xfId="0" applyNumberFormat="1" applyFont="1" applyBorder="1" applyAlignment="1">
      <alignment horizontal="center" wrapText="1"/>
    </xf>
    <xf numFmtId="165" fontId="13" fillId="0" borderId="7" xfId="0" applyNumberFormat="1" applyFont="1" applyBorder="1" applyAlignment="1">
      <alignment horizontal="center"/>
    </xf>
    <xf numFmtId="165" fontId="14" fillId="0" borderId="8" xfId="0" applyNumberFormat="1" applyFont="1" applyBorder="1"/>
    <xf numFmtId="165" fontId="33" fillId="0" borderId="12" xfId="0" applyNumberFormat="1" applyFont="1" applyBorder="1"/>
    <xf numFmtId="165" fontId="14" fillId="0" borderId="0" xfId="0" applyNumberFormat="1" applyFont="1"/>
    <xf numFmtId="0" fontId="7" fillId="0" borderId="8" xfId="0" applyFont="1" applyBorder="1" applyAlignment="1">
      <alignment horizontal="right"/>
    </xf>
    <xf numFmtId="0" fontId="31" fillId="0" borderId="15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/>
    </xf>
    <xf numFmtId="3" fontId="12" fillId="0" borderId="8" xfId="0" applyNumberFormat="1" applyFont="1" applyBorder="1"/>
    <xf numFmtId="3" fontId="11" fillId="0" borderId="8" xfId="0" applyNumberFormat="1" applyFont="1" applyBorder="1"/>
    <xf numFmtId="3" fontId="10" fillId="0" borderId="8" xfId="0" applyNumberFormat="1" applyFont="1" applyBorder="1"/>
    <xf numFmtId="3" fontId="0" fillId="0" borderId="8" xfId="0" applyNumberFormat="1" applyBorder="1"/>
    <xf numFmtId="165" fontId="20" fillId="0" borderId="0" xfId="0" applyNumberFormat="1" applyFont="1" applyBorder="1"/>
    <xf numFmtId="165" fontId="20" fillId="0" borderId="0" xfId="0" applyNumberFormat="1" applyFont="1"/>
    <xf numFmtId="1" fontId="4" fillId="0" borderId="16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1" xfId="0" applyFont="1" applyBorder="1"/>
    <xf numFmtId="0" fontId="6" fillId="0" borderId="5" xfId="0" applyFont="1" applyBorder="1"/>
    <xf numFmtId="0" fontId="0" fillId="0" borderId="17" xfId="0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6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6" fillId="0" borderId="25" xfId="0" applyFont="1" applyBorder="1"/>
    <xf numFmtId="3" fontId="24" fillId="0" borderId="0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0" fontId="31" fillId="0" borderId="0" xfId="0" applyFont="1"/>
    <xf numFmtId="0" fontId="31" fillId="0" borderId="12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4" xfId="0" applyNumberFormat="1" applyFont="1" applyBorder="1"/>
    <xf numFmtId="0" fontId="26" fillId="0" borderId="3" xfId="1" applyFont="1" applyBorder="1"/>
    <xf numFmtId="0" fontId="26" fillId="0" borderId="2" xfId="1" applyFont="1" applyBorder="1"/>
    <xf numFmtId="3" fontId="29" fillId="0" borderId="2" xfId="1" applyNumberFormat="1" applyFont="1" applyBorder="1"/>
    <xf numFmtId="3" fontId="30" fillId="0" borderId="6" xfId="1" applyNumberFormat="1" applyFont="1" applyBorder="1"/>
    <xf numFmtId="3" fontId="28" fillId="0" borderId="6" xfId="1" applyNumberFormat="1" applyFont="1" applyBorder="1"/>
    <xf numFmtId="3" fontId="27" fillId="0" borderId="2" xfId="1" applyNumberFormat="1" applyFont="1" applyBorder="1"/>
    <xf numFmtId="165" fontId="27" fillId="0" borderId="15" xfId="1" applyNumberFormat="1" applyFont="1" applyBorder="1"/>
    <xf numFmtId="165" fontId="27" fillId="0" borderId="13" xfId="1" applyNumberFormat="1" applyFont="1" applyBorder="1"/>
    <xf numFmtId="165" fontId="36" fillId="0" borderId="13" xfId="1" applyNumberFormat="1" applyFont="1" applyBorder="1"/>
    <xf numFmtId="0" fontId="27" fillId="0" borderId="0" xfId="1" applyFont="1"/>
    <xf numFmtId="0" fontId="17" fillId="0" borderId="16" xfId="1" applyFont="1" applyBorder="1"/>
    <xf numFmtId="0" fontId="6" fillId="0" borderId="12" xfId="1" applyFont="1" applyBorder="1"/>
    <xf numFmtId="0" fontId="20" fillId="0" borderId="13" xfId="1" applyFont="1" applyBorder="1" applyAlignment="1">
      <alignment horizontal="left"/>
    </xf>
    <xf numFmtId="0" fontId="20" fillId="0" borderId="12" xfId="1" applyFont="1" applyBorder="1" applyAlignment="1">
      <alignment horizontal="left"/>
    </xf>
    <xf numFmtId="3" fontId="19" fillId="0" borderId="15" xfId="1" applyNumberFormat="1" applyFont="1" applyBorder="1" applyAlignment="1">
      <alignment horizontal="left"/>
    </xf>
    <xf numFmtId="0" fontId="17" fillId="0" borderId="13" xfId="1" applyFont="1" applyBorder="1" applyAlignment="1">
      <alignment horizontal="left"/>
    </xf>
    <xf numFmtId="0" fontId="37" fillId="0" borderId="0" xfId="1"/>
    <xf numFmtId="1" fontId="6" fillId="0" borderId="6" xfId="1" applyNumberFormat="1" applyFont="1" applyBorder="1" applyAlignment="1">
      <alignment horizontal="center" wrapText="1"/>
    </xf>
    <xf numFmtId="3" fontId="9" fillId="0" borderId="3" xfId="1" applyNumberFormat="1" applyFont="1" applyBorder="1" applyAlignment="1">
      <alignment horizontal="center" wrapText="1"/>
    </xf>
    <xf numFmtId="3" fontId="7" fillId="0" borderId="6" xfId="1" applyNumberFormat="1" applyFont="1" applyBorder="1" applyAlignment="1">
      <alignment horizontal="center" wrapText="1"/>
    </xf>
    <xf numFmtId="3" fontId="18" fillId="0" borderId="6" xfId="1" applyNumberFormat="1" applyFont="1" applyBorder="1" applyAlignment="1">
      <alignment horizontal="center" wrapText="1"/>
    </xf>
    <xf numFmtId="3" fontId="8" fillId="0" borderId="2" xfId="1" applyNumberFormat="1" applyFont="1" applyBorder="1" applyAlignment="1">
      <alignment horizontal="center" wrapText="1"/>
    </xf>
    <xf numFmtId="3" fontId="8" fillId="0" borderId="6" xfId="1" applyNumberFormat="1" applyFont="1" applyBorder="1" applyAlignment="1">
      <alignment horizontal="center" wrapText="1"/>
    </xf>
    <xf numFmtId="165" fontId="25" fillId="0" borderId="2" xfId="1" applyNumberFormat="1" applyFont="1" applyBorder="1" applyAlignment="1">
      <alignment horizontal="center" wrapText="1"/>
    </xf>
    <xf numFmtId="165" fontId="13" fillId="0" borderId="6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7" xfId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3" fontId="18" fillId="0" borderId="7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165" fontId="25" fillId="0" borderId="4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165" fontId="27" fillId="0" borderId="12" xfId="1" applyNumberFormat="1" applyFont="1" applyBorder="1"/>
    <xf numFmtId="0" fontId="2" fillId="0" borderId="8" xfId="1" applyFont="1" applyBorder="1"/>
    <xf numFmtId="3" fontId="38" fillId="0" borderId="1" xfId="1" applyNumberFormat="1" applyFont="1" applyBorder="1"/>
    <xf numFmtId="3" fontId="3" fillId="0" borderId="8" xfId="1" applyNumberFormat="1" applyFont="1" applyBorder="1"/>
    <xf numFmtId="3" fontId="14" fillId="0" borderId="8" xfId="1" applyNumberFormat="1" applyFont="1" applyBorder="1"/>
    <xf numFmtId="3" fontId="38" fillId="0" borderId="0" xfId="1" applyNumberFormat="1" applyFont="1" applyBorder="1"/>
    <xf numFmtId="3" fontId="38" fillId="0" borderId="8" xfId="1" applyNumberFormat="1" applyFont="1" applyBorder="1"/>
    <xf numFmtId="165" fontId="24" fillId="0" borderId="0" xfId="1" applyNumberFormat="1" applyFont="1" applyBorder="1"/>
    <xf numFmtId="165" fontId="14" fillId="0" borderId="8" xfId="1" applyNumberFormat="1" applyFont="1" applyBorder="1"/>
    <xf numFmtId="0" fontId="2" fillId="0" borderId="0" xfId="1" applyFont="1" applyBorder="1"/>
    <xf numFmtId="0" fontId="2" fillId="0" borderId="8" xfId="1" applyFont="1" applyBorder="1" applyAlignment="1">
      <alignment horizontal="right"/>
    </xf>
    <xf numFmtId="0" fontId="24" fillId="0" borderId="0" xfId="1" applyFont="1" applyBorder="1"/>
    <xf numFmtId="3" fontId="2" fillId="0" borderId="20" xfId="0" applyNumberFormat="1" applyFont="1" applyFill="1" applyBorder="1"/>
    <xf numFmtId="0" fontId="0" fillId="0" borderId="31" xfId="0" applyBorder="1"/>
    <xf numFmtId="0" fontId="0" fillId="0" borderId="0" xfId="0" applyBorder="1"/>
    <xf numFmtId="0" fontId="20" fillId="0" borderId="7" xfId="1" applyFont="1" applyBorder="1" applyAlignment="1">
      <alignment horizontal="left"/>
    </xf>
    <xf numFmtId="3" fontId="27" fillId="0" borderId="32" xfId="1" applyNumberFormat="1" applyFont="1" applyBorder="1"/>
    <xf numFmtId="166" fontId="39" fillId="0" borderId="0" xfId="0" applyNumberFormat="1" applyFont="1"/>
    <xf numFmtId="166" fontId="44" fillId="0" borderId="0" xfId="0" applyNumberFormat="1" applyFont="1"/>
    <xf numFmtId="0" fontId="1" fillId="0" borderId="0" xfId="0" applyFont="1"/>
    <xf numFmtId="0" fontId="17" fillId="0" borderId="11" xfId="0" applyFont="1" applyBorder="1"/>
    <xf numFmtId="0" fontId="6" fillId="0" borderId="7" xfId="0" applyFont="1" applyBorder="1"/>
    <xf numFmtId="0" fontId="20" fillId="0" borderId="4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6" fillId="0" borderId="0" xfId="0" applyFont="1" applyBorder="1"/>
    <xf numFmtId="3" fontId="29" fillId="0" borderId="0" xfId="0" applyNumberFormat="1" applyFont="1" applyBorder="1"/>
    <xf numFmtId="3" fontId="30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 applyBorder="1"/>
    <xf numFmtId="165" fontId="27" fillId="0" borderId="0" xfId="0" applyNumberFormat="1" applyFont="1" applyBorder="1"/>
    <xf numFmtId="165" fontId="36" fillId="0" borderId="0" xfId="0" applyNumberFormat="1" applyFont="1" applyBorder="1"/>
    <xf numFmtId="165" fontId="28" fillId="0" borderId="0" xfId="0" applyNumberFormat="1" applyFont="1" applyBorder="1"/>
    <xf numFmtId="0" fontId="40" fillId="2" borderId="14" xfId="0" applyFont="1" applyFill="1" applyBorder="1"/>
    <xf numFmtId="3" fontId="40" fillId="2" borderId="15" xfId="0" applyNumberFormat="1" applyFont="1" applyFill="1" applyBorder="1"/>
    <xf numFmtId="3" fontId="40" fillId="2" borderId="26" xfId="0" applyNumberFormat="1" applyFont="1" applyFill="1" applyBorder="1"/>
    <xf numFmtId="3" fontId="40" fillId="2" borderId="27" xfId="0" applyNumberFormat="1" applyFont="1" applyFill="1" applyBorder="1"/>
    <xf numFmtId="0" fontId="41" fillId="0" borderId="0" xfId="0" applyFont="1"/>
    <xf numFmtId="0" fontId="0" fillId="0" borderId="33" xfId="0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3" fontId="45" fillId="0" borderId="1" xfId="0" applyNumberFormat="1" applyFont="1" applyBorder="1"/>
    <xf numFmtId="3" fontId="1" fillId="0" borderId="0" xfId="0" applyNumberFormat="1" applyFont="1"/>
    <xf numFmtId="3" fontId="20" fillId="0" borderId="0" xfId="0" applyNumberFormat="1" applyFont="1"/>
    <xf numFmtId="0" fontId="20" fillId="0" borderId="0" xfId="0" applyFont="1"/>
    <xf numFmtId="9" fontId="0" fillId="0" borderId="0" xfId="0" applyNumberFormat="1"/>
    <xf numFmtId="3" fontId="1" fillId="0" borderId="8" xfId="0" applyNumberFormat="1" applyFont="1" applyBorder="1"/>
    <xf numFmtId="3" fontId="2" fillId="3" borderId="0" xfId="0" applyNumberFormat="1" applyFont="1" applyFill="1"/>
    <xf numFmtId="0" fontId="46" fillId="0" borderId="0" xfId="0" applyFont="1"/>
    <xf numFmtId="165" fontId="1" fillId="0" borderId="0" xfId="0" applyNumberFormat="1" applyFont="1"/>
    <xf numFmtId="0" fontId="35" fillId="0" borderId="0" xfId="1" applyFont="1"/>
    <xf numFmtId="3" fontId="2" fillId="0" borderId="1" xfId="1" applyNumberFormat="1" applyFont="1" applyBorder="1"/>
    <xf numFmtId="3" fontId="4" fillId="0" borderId="8" xfId="1" applyNumberFormat="1" applyFont="1" applyBorder="1"/>
    <xf numFmtId="3" fontId="15" fillId="0" borderId="8" xfId="1" applyNumberFormat="1" applyFont="1" applyBorder="1"/>
    <xf numFmtId="3" fontId="2" fillId="0" borderId="0" xfId="1" applyNumberFormat="1" applyFont="1" applyBorder="1"/>
    <xf numFmtId="3" fontId="2" fillId="0" borderId="8" xfId="1" applyNumberFormat="1" applyFont="1" applyBorder="1"/>
    <xf numFmtId="165" fontId="20" fillId="0" borderId="0" xfId="1" applyNumberFormat="1" applyFont="1" applyBorder="1"/>
    <xf numFmtId="0" fontId="20" fillId="0" borderId="0" xfId="1" applyFont="1" applyBorder="1"/>
    <xf numFmtId="49" fontId="47" fillId="0" borderId="38" xfId="0" applyNumberFormat="1" applyFont="1" applyFill="1" applyBorder="1" applyAlignment="1">
      <alignment horizontal="centerContinuous" vertical="top" wrapText="1"/>
    </xf>
    <xf numFmtId="49" fontId="47" fillId="0" borderId="39" xfId="0" applyNumberFormat="1" applyFont="1" applyFill="1" applyBorder="1" applyAlignment="1">
      <alignment horizontal="centerContinuous" wrapText="1"/>
    </xf>
    <xf numFmtId="0" fontId="0" fillId="0" borderId="0" xfId="0" applyAlignment="1"/>
    <xf numFmtId="0" fontId="6" fillId="3" borderId="34" xfId="0" applyFont="1" applyFill="1" applyBorder="1"/>
    <xf numFmtId="0" fontId="4" fillId="0" borderId="8" xfId="0" applyFont="1" applyBorder="1"/>
    <xf numFmtId="165" fontId="1" fillId="0" borderId="0" xfId="0" applyNumberFormat="1" applyFont="1" applyBorder="1"/>
    <xf numFmtId="3" fontId="33" fillId="4" borderId="12" xfId="0" applyNumberFormat="1" applyFont="1" applyFill="1" applyBorder="1"/>
    <xf numFmtId="3" fontId="31" fillId="3" borderId="13" xfId="0" applyNumberFormat="1" applyFont="1" applyFill="1" applyBorder="1"/>
    <xf numFmtId="165" fontId="32" fillId="3" borderId="13" xfId="0" applyNumberFormat="1" applyFont="1" applyFill="1" applyBorder="1"/>
    <xf numFmtId="3" fontId="2" fillId="0" borderId="0" xfId="0" applyNumberFormat="1" applyFont="1" applyFill="1"/>
    <xf numFmtId="3" fontId="9" fillId="0" borderId="14" xfId="0" applyNumberFormat="1" applyFont="1" applyBorder="1"/>
    <xf numFmtId="3" fontId="18" fillId="0" borderId="40" xfId="0" applyNumberFormat="1" applyFont="1" applyBorder="1" applyAlignment="1">
      <alignment horizontal="center"/>
    </xf>
    <xf numFmtId="3" fontId="16" fillId="0" borderId="41" xfId="0" applyNumberFormat="1" applyFont="1" applyBorder="1"/>
    <xf numFmtId="3" fontId="16" fillId="0" borderId="40" xfId="0" applyNumberFormat="1" applyFont="1" applyBorder="1"/>
    <xf numFmtId="166" fontId="39" fillId="0" borderId="42" xfId="0" applyNumberFormat="1" applyFont="1" applyBorder="1"/>
    <xf numFmtId="165" fontId="24" fillId="0" borderId="42" xfId="0" applyNumberFormat="1" applyFont="1" applyBorder="1"/>
    <xf numFmtId="166" fontId="39" fillId="0" borderId="43" xfId="0" applyNumberFormat="1" applyFont="1" applyBorder="1"/>
    <xf numFmtId="165" fontId="1" fillId="0" borderId="42" xfId="0" applyNumberFormat="1" applyFont="1" applyBorder="1"/>
    <xf numFmtId="165" fontId="32" fillId="3" borderId="44" xfId="0" applyNumberFormat="1" applyFont="1" applyFill="1" applyBorder="1"/>
    <xf numFmtId="3" fontId="33" fillId="4" borderId="13" xfId="0" applyNumberFormat="1" applyFont="1" applyFill="1" applyBorder="1"/>
    <xf numFmtId="3" fontId="31" fillId="3" borderId="44" xfId="0" applyNumberFormat="1" applyFont="1" applyFill="1" applyBorder="1"/>
    <xf numFmtId="3" fontId="31" fillId="0" borderId="45" xfId="0" applyNumberFormat="1" applyFont="1" applyBorder="1"/>
    <xf numFmtId="3" fontId="0" fillId="0" borderId="43" xfId="0" applyNumberFormat="1" applyBorder="1"/>
    <xf numFmtId="165" fontId="14" fillId="0" borderId="0" xfId="0" applyNumberFormat="1" applyFont="1" applyBorder="1"/>
    <xf numFmtId="3" fontId="0" fillId="0" borderId="42" xfId="0" applyNumberFormat="1" applyBorder="1"/>
    <xf numFmtId="165" fontId="33" fillId="4" borderId="13" xfId="0" applyNumberFormat="1" applyFont="1" applyFill="1" applyBorder="1"/>
    <xf numFmtId="3" fontId="31" fillId="0" borderId="44" xfId="0" applyNumberFormat="1" applyFont="1" applyBorder="1"/>
    <xf numFmtId="0" fontId="20" fillId="0" borderId="46" xfId="0" applyFont="1" applyBorder="1" applyAlignment="1">
      <alignment horizontal="left"/>
    </xf>
    <xf numFmtId="3" fontId="33" fillId="5" borderId="12" xfId="0" applyNumberFormat="1" applyFont="1" applyFill="1" applyBorder="1"/>
    <xf numFmtId="3" fontId="31" fillId="3" borderId="14" xfId="0" applyNumberFormat="1" applyFont="1" applyFill="1" applyBorder="1"/>
    <xf numFmtId="0" fontId="31" fillId="3" borderId="12" xfId="0" applyFont="1" applyFill="1" applyBorder="1"/>
    <xf numFmtId="0" fontId="1" fillId="0" borderId="28" xfId="0" applyFont="1" applyBorder="1" applyAlignment="1">
      <alignment wrapText="1"/>
    </xf>
    <xf numFmtId="167" fontId="0" fillId="0" borderId="29" xfId="0" applyNumberFormat="1" applyBorder="1" applyAlignment="1">
      <alignment horizontal="left"/>
    </xf>
    <xf numFmtId="167" fontId="0" fillId="0" borderId="30" xfId="0" applyNumberFormat="1" applyBorder="1" applyAlignment="1">
      <alignment horizontal="left"/>
    </xf>
    <xf numFmtId="3" fontId="42" fillId="6" borderId="47" xfId="0" applyNumberFormat="1" applyFont="1" applyFill="1" applyBorder="1" applyAlignment="1">
      <alignment horizontal="center"/>
    </xf>
    <xf numFmtId="3" fontId="42" fillId="6" borderId="48" xfId="0" applyNumberFormat="1" applyFont="1" applyFill="1" applyBorder="1" applyAlignment="1">
      <alignment horizontal="center"/>
    </xf>
    <xf numFmtId="3" fontId="42" fillId="7" borderId="49" xfId="0" applyNumberFormat="1" applyFont="1" applyFill="1" applyBorder="1" applyAlignment="1">
      <alignment horizontal="center"/>
    </xf>
    <xf numFmtId="3" fontId="42" fillId="7" borderId="50" xfId="0" applyNumberFormat="1" applyFont="1" applyFill="1" applyBorder="1" applyAlignment="1">
      <alignment horizontal="center"/>
    </xf>
    <xf numFmtId="3" fontId="42" fillId="8" borderId="49" xfId="0" applyNumberFormat="1" applyFont="1" applyFill="1" applyBorder="1" applyAlignment="1">
      <alignment horizontal="center"/>
    </xf>
    <xf numFmtId="3" fontId="42" fillId="8" borderId="50" xfId="0" applyNumberFormat="1" applyFont="1" applyFill="1" applyBorder="1" applyAlignment="1">
      <alignment horizontal="center"/>
    </xf>
    <xf numFmtId="3" fontId="42" fillId="9" borderId="38" xfId="0" applyNumberFormat="1" applyFont="1" applyFill="1" applyBorder="1" applyAlignment="1">
      <alignment horizontal="center"/>
    </xf>
    <xf numFmtId="3" fontId="42" fillId="9" borderId="39" xfId="0" applyNumberFormat="1" applyFont="1" applyFill="1" applyBorder="1" applyAlignment="1">
      <alignment horizontal="center"/>
    </xf>
    <xf numFmtId="3" fontId="42" fillId="0" borderId="47" xfId="0" applyNumberFormat="1" applyFont="1" applyFill="1" applyBorder="1" applyAlignment="1">
      <alignment horizontal="center"/>
    </xf>
    <xf numFmtId="3" fontId="42" fillId="0" borderId="48" xfId="0" applyNumberFormat="1" applyFont="1" applyFill="1" applyBorder="1" applyAlignment="1">
      <alignment horizontal="center"/>
    </xf>
    <xf numFmtId="3" fontId="43" fillId="10" borderId="6" xfId="1" applyNumberFormat="1" applyFont="1" applyFill="1" applyBorder="1" applyAlignment="1">
      <alignment horizontal="center" wrapText="1"/>
    </xf>
    <xf numFmtId="3" fontId="43" fillId="10" borderId="7" xfId="1" applyNumberFormat="1" applyFont="1" applyFill="1" applyBorder="1" applyAlignment="1">
      <alignment horizontal="center"/>
    </xf>
    <xf numFmtId="3" fontId="33" fillId="10" borderId="8" xfId="1" applyNumberFormat="1" applyFont="1" applyFill="1" applyBorder="1"/>
    <xf numFmtId="165" fontId="15" fillId="3" borderId="8" xfId="1" applyNumberFormat="1" applyFont="1" applyFill="1" applyBorder="1"/>
    <xf numFmtId="165" fontId="33" fillId="3" borderId="12" xfId="0" applyNumberFormat="1" applyFont="1" applyFill="1" applyBorder="1"/>
    <xf numFmtId="165" fontId="14" fillId="3" borderId="8" xfId="1" applyNumberFormat="1" applyFont="1" applyFill="1" applyBorder="1"/>
    <xf numFmtId="3" fontId="14" fillId="11" borderId="8" xfId="0" applyNumberFormat="1" applyFont="1" applyFill="1" applyBorder="1"/>
    <xf numFmtId="3" fontId="1" fillId="11" borderId="0" xfId="0" applyNumberFormat="1" applyFont="1" applyFill="1"/>
    <xf numFmtId="3" fontId="1" fillId="11" borderId="8" xfId="0" applyNumberFormat="1" applyFont="1" applyFill="1" applyBorder="1"/>
    <xf numFmtId="0" fontId="4" fillId="0" borderId="0" xfId="0" applyFont="1"/>
    <xf numFmtId="3" fontId="14" fillId="0" borderId="0" xfId="0" applyNumberFormat="1" applyFont="1"/>
    <xf numFmtId="3" fontId="4" fillId="0" borderId="0" xfId="0" applyNumberFormat="1" applyFont="1"/>
    <xf numFmtId="3" fontId="48" fillId="0" borderId="0" xfId="0" applyNumberFormat="1" applyFont="1"/>
    <xf numFmtId="166" fontId="44" fillId="0" borderId="0" xfId="0" applyNumberFormat="1" applyFont="1" applyFill="1"/>
    <xf numFmtId="166" fontId="39" fillId="0" borderId="42" xfId="0" applyNumberFormat="1" applyFont="1" applyFill="1" applyBorder="1"/>
    <xf numFmtId="166" fontId="39" fillId="0" borderId="0" xfId="0" applyNumberFormat="1" applyFont="1" applyFill="1"/>
    <xf numFmtId="166" fontId="49" fillId="11" borderId="0" xfId="0" applyNumberFormat="1" applyFont="1" applyFill="1"/>
    <xf numFmtId="166" fontId="50" fillId="11" borderId="42" xfId="0" applyNumberFormat="1" applyFont="1" applyFill="1" applyBorder="1"/>
    <xf numFmtId="166" fontId="50" fillId="11" borderId="0" xfId="0" applyNumberFormat="1" applyFont="1" applyFill="1"/>
    <xf numFmtId="0" fontId="3" fillId="11" borderId="11" xfId="0" applyFont="1" applyFill="1" applyBorder="1"/>
    <xf numFmtId="0" fontId="46" fillId="0" borderId="51" xfId="0" applyFont="1" applyBorder="1"/>
    <xf numFmtId="0" fontId="26" fillId="0" borderId="52" xfId="0" applyFont="1" applyBorder="1"/>
    <xf numFmtId="3" fontId="15" fillId="11" borderId="0" xfId="0" applyNumberFormat="1" applyFont="1" applyFill="1" applyBorder="1"/>
    <xf numFmtId="0" fontId="0" fillId="0" borderId="0" xfId="0" applyAlignment="1">
      <alignment horizontal="center"/>
    </xf>
    <xf numFmtId="3" fontId="20" fillId="12" borderId="53" xfId="0" applyNumberFormat="1" applyFont="1" applyFill="1" applyBorder="1"/>
    <xf numFmtId="166" fontId="51" fillId="3" borderId="0" xfId="0" applyNumberFormat="1" applyFont="1" applyFill="1"/>
    <xf numFmtId="0" fontId="31" fillId="3" borderId="0" xfId="0" applyFont="1" applyFill="1" applyBorder="1"/>
    <xf numFmtId="3" fontId="31" fillId="3" borderId="0" xfId="0" applyNumberFormat="1" applyFont="1" applyFill="1" applyBorder="1"/>
    <xf numFmtId="3" fontId="17" fillId="0" borderId="0" xfId="0" applyNumberFormat="1" applyFont="1" applyBorder="1"/>
    <xf numFmtId="3" fontId="33" fillId="4" borderId="0" xfId="0" applyNumberFormat="1" applyFont="1" applyFill="1" applyBorder="1"/>
    <xf numFmtId="3" fontId="31" fillId="0" borderId="0" xfId="0" applyNumberFormat="1" applyFont="1" applyBorder="1"/>
    <xf numFmtId="165" fontId="32" fillId="3" borderId="0" xfId="0" applyNumberFormat="1" applyFont="1" applyFill="1" applyBorder="1"/>
    <xf numFmtId="165" fontId="32" fillId="0" borderId="0" xfId="0" applyNumberFormat="1" applyFont="1" applyBorder="1"/>
    <xf numFmtId="165" fontId="33" fillId="4" borderId="0" xfId="0" applyNumberFormat="1" applyFont="1" applyFill="1" applyBorder="1"/>
    <xf numFmtId="3" fontId="33" fillId="10" borderId="0" xfId="1" applyNumberFormat="1" applyFont="1" applyFill="1" applyBorder="1"/>
    <xf numFmtId="3" fontId="15" fillId="0" borderId="51" xfId="0" applyNumberFormat="1" applyFont="1" applyFill="1" applyBorder="1"/>
    <xf numFmtId="3" fontId="15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165" fontId="1" fillId="0" borderId="0" xfId="0" applyNumberFormat="1" applyFont="1" applyFill="1"/>
    <xf numFmtId="165" fontId="20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 applyFill="1"/>
    <xf numFmtId="3" fontId="22" fillId="0" borderId="9" xfId="0" applyNumberFormat="1" applyFont="1" applyFill="1" applyBorder="1"/>
    <xf numFmtId="0" fontId="0" fillId="0" borderId="0" xfId="0" applyFill="1"/>
    <xf numFmtId="0" fontId="0" fillId="0" borderId="0" xfId="0" applyAlignment="1"/>
    <xf numFmtId="165" fontId="1" fillId="0" borderId="4" xfId="0" applyNumberFormat="1" applyFont="1" applyBorder="1"/>
    <xf numFmtId="3" fontId="33" fillId="4" borderId="2" xfId="0" applyNumberFormat="1" applyFont="1" applyFill="1" applyBorder="1"/>
    <xf numFmtId="3" fontId="31" fillId="3" borderId="55" xfId="0" applyNumberFormat="1" applyFont="1" applyFill="1" applyBorder="1"/>
    <xf numFmtId="3" fontId="31" fillId="3" borderId="2" xfId="0" applyNumberFormat="1" applyFont="1" applyFill="1" applyBorder="1"/>
    <xf numFmtId="3" fontId="31" fillId="0" borderId="2" xfId="0" applyNumberFormat="1" applyFont="1" applyBorder="1"/>
    <xf numFmtId="3" fontId="33" fillId="4" borderId="4" xfId="0" applyNumberFormat="1" applyFont="1" applyFill="1" applyBorder="1"/>
    <xf numFmtId="3" fontId="31" fillId="3" borderId="42" xfId="0" applyNumberFormat="1" applyFont="1" applyFill="1" applyBorder="1"/>
    <xf numFmtId="3" fontId="31" fillId="3" borderId="4" xfId="0" applyNumberFormat="1" applyFont="1" applyFill="1" applyBorder="1"/>
    <xf numFmtId="3" fontId="31" fillId="0" borderId="4" xfId="0" applyNumberFormat="1" applyFont="1" applyBorder="1"/>
    <xf numFmtId="3" fontId="14" fillId="0" borderId="54" xfId="0" applyNumberFormat="1" applyFont="1" applyBorder="1"/>
    <xf numFmtId="3" fontId="0" fillId="0" borderId="54" xfId="0" applyNumberFormat="1" applyBorder="1"/>
    <xf numFmtId="3" fontId="14" fillId="11" borderId="54" xfId="0" applyNumberFormat="1" applyFont="1" applyFill="1" applyBorder="1"/>
    <xf numFmtId="3" fontId="1" fillId="11" borderId="54" xfId="0" applyNumberFormat="1" applyFont="1" applyFill="1" applyBorder="1"/>
    <xf numFmtId="166" fontId="49" fillId="11" borderId="54" xfId="0" applyNumberFormat="1" applyFont="1" applyFill="1" applyBorder="1"/>
    <xf numFmtId="166" fontId="50" fillId="11" borderId="54" xfId="0" applyNumberFormat="1" applyFont="1" applyFill="1" applyBorder="1"/>
    <xf numFmtId="166" fontId="51" fillId="3" borderId="54" xfId="0" applyNumberFormat="1" applyFont="1" applyFill="1" applyBorder="1"/>
    <xf numFmtId="3" fontId="20" fillId="0" borderId="53" xfId="0" applyNumberFormat="1" applyFont="1" applyBorder="1"/>
    <xf numFmtId="9" fontId="0" fillId="0" borderId="0" xfId="0" applyNumberForma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/>
    <xf numFmtId="3" fontId="19" fillId="0" borderId="10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17" fillId="0" borderId="13" xfId="1" applyNumberFormat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12" xfId="1" applyFont="1" applyBorder="1" applyAlignment="1">
      <alignment horizontal="center"/>
    </xf>
  </cellXfs>
  <cellStyles count="2">
    <cellStyle name="Standard" xfId="0" builtinId="0"/>
    <cellStyle name="Standard_Mappe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Marktanteile der Düngekalktypen, 2017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tx>
          <c:cat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cat>
          <c:val>
            <c:numRef>
              <c:f>'Daten lfd. CaO Detail'!$F$145:$I$145</c:f>
              <c:numCache>
                <c:formatCode>#,##0</c:formatCode>
                <c:ptCount val="4"/>
                <c:pt idx="0">
                  <c:v>2151899</c:v>
                </c:pt>
                <c:pt idx="1">
                  <c:v>86407</c:v>
                </c:pt>
                <c:pt idx="2">
                  <c:v>165770</c:v>
                </c:pt>
                <c:pt idx="3">
                  <c:v>349223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6-4164-938C-600F3FAB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400"/>
              <a:t>Waldkalkung in Deutschland, 
2004 - 2020</a:t>
            </a:r>
          </a:p>
        </c:rich>
      </c:tx>
      <c:layout>
        <c:manualLayout>
          <c:xMode val="edge"/>
          <c:yMode val="edge"/>
          <c:x val="0.25947523017303087"/>
          <c:y val="2.2472004242254099E-2"/>
        </c:manualLayout>
      </c:layout>
      <c:overlay val="0"/>
      <c:spPr>
        <a:solidFill>
          <a:schemeClr val="bg1"/>
        </a:solidFill>
        <a:ln w="38100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850767085076709"/>
          <c:y val="0.25649385118994955"/>
          <c:w val="0.78928694582633241"/>
          <c:h val="0.50995717950986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Jahre Kalktypen'!$D$3</c:f>
              <c:strCache>
                <c:ptCount val="1"/>
                <c:pt idx="0">
                  <c:v>Waldkalkung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Kalktypen'!$A$19:$A$35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'Daten Jahre Kalktypen'!$D$19:$D$35</c:f>
              <c:numCache>
                <c:formatCode>#,##0</c:formatCode>
                <c:ptCount val="17"/>
                <c:pt idx="0">
                  <c:v>96348</c:v>
                </c:pt>
                <c:pt idx="1">
                  <c:v>101751</c:v>
                </c:pt>
                <c:pt idx="2">
                  <c:v>106194</c:v>
                </c:pt>
                <c:pt idx="3">
                  <c:v>56300</c:v>
                </c:pt>
                <c:pt idx="4">
                  <c:v>98857</c:v>
                </c:pt>
                <c:pt idx="5">
                  <c:v>92725</c:v>
                </c:pt>
                <c:pt idx="6">
                  <c:v>83564</c:v>
                </c:pt>
                <c:pt idx="7">
                  <c:v>77874</c:v>
                </c:pt>
                <c:pt idx="8">
                  <c:v>117846</c:v>
                </c:pt>
                <c:pt idx="9">
                  <c:v>103059</c:v>
                </c:pt>
                <c:pt idx="10">
                  <c:v>89748</c:v>
                </c:pt>
                <c:pt idx="11">
                  <c:v>67071</c:v>
                </c:pt>
                <c:pt idx="12">
                  <c:v>61392</c:v>
                </c:pt>
                <c:pt idx="13">
                  <c:v>45979</c:v>
                </c:pt>
                <c:pt idx="14">
                  <c:v>59360</c:v>
                </c:pt>
                <c:pt idx="15">
                  <c:v>36621</c:v>
                </c:pt>
                <c:pt idx="16">
                  <c:v>44285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0-43CF-BC16-2CF8B1DC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765184"/>
        <c:axId val="198779264"/>
      </c:barChart>
      <c:catAx>
        <c:axId val="1987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77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77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t CaO</a:t>
                </a:r>
              </a:p>
            </c:rich>
          </c:tx>
          <c:layout>
            <c:manualLayout>
              <c:xMode val="edge"/>
              <c:yMode val="edge"/>
              <c:x val="8.7539134755778555E-2"/>
              <c:y val="0.179938863917313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765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2800"/>
              <a:t>Waldkalkung in Deutschland, 
1995 - 2020</a:t>
            </a:r>
            <a:r>
              <a:rPr lang="de-DE" sz="2800" baseline="0"/>
              <a:t> (t Ware)</a:t>
            </a:r>
            <a:endParaRPr lang="de-DE" sz="2800"/>
          </a:p>
        </c:rich>
      </c:tx>
      <c:layout>
        <c:manualLayout>
          <c:xMode val="edge"/>
          <c:yMode val="edge"/>
          <c:x val="0.25947526312555413"/>
          <c:y val="2.2471970215679562E-2"/>
        </c:manualLayout>
      </c:layout>
      <c:overlay val="0"/>
      <c:spPr>
        <a:solidFill>
          <a:schemeClr val="bg1"/>
        </a:solidFill>
        <a:ln w="38100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850767085076709"/>
          <c:y val="0.25649385118994955"/>
          <c:w val="0.78928694582633241"/>
          <c:h val="0.50995717950986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Jahre Kalktypen'!$O$3</c:f>
              <c:strCache>
                <c:ptCount val="1"/>
                <c:pt idx="0">
                  <c:v>Waldkalkung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Kalktypen'!$A$10:$A$35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'Daten Jahre Kalktypen'!$O$10:$O$35</c:f>
              <c:numCache>
                <c:formatCode>#,##0</c:formatCode>
                <c:ptCount val="26"/>
                <c:pt idx="0">
                  <c:v>396737.67</c:v>
                </c:pt>
                <c:pt idx="1">
                  <c:v>425654.67</c:v>
                </c:pt>
                <c:pt idx="2">
                  <c:v>338726.95499999996</c:v>
                </c:pt>
                <c:pt idx="3">
                  <c:v>343409.01</c:v>
                </c:pt>
                <c:pt idx="4">
                  <c:v>339785.45999999996</c:v>
                </c:pt>
                <c:pt idx="5">
                  <c:v>330839.03999999998</c:v>
                </c:pt>
                <c:pt idx="6">
                  <c:v>314948.96999999997</c:v>
                </c:pt>
                <c:pt idx="7">
                  <c:v>301466.86499999999</c:v>
                </c:pt>
                <c:pt idx="8">
                  <c:v>250928.15999999997</c:v>
                </c:pt>
                <c:pt idx="9">
                  <c:v>171981.18</c:v>
                </c:pt>
                <c:pt idx="10">
                  <c:v>181625.535</c:v>
                </c:pt>
                <c:pt idx="11">
                  <c:v>189556.28999999998</c:v>
                </c:pt>
                <c:pt idx="12">
                  <c:v>100495.5</c:v>
                </c:pt>
                <c:pt idx="13">
                  <c:v>176459.745</c:v>
                </c:pt>
                <c:pt idx="14">
                  <c:v>165514.125</c:v>
                </c:pt>
                <c:pt idx="15">
                  <c:v>149161.74</c:v>
                </c:pt>
                <c:pt idx="16">
                  <c:v>139005.09</c:v>
                </c:pt>
                <c:pt idx="17">
                  <c:v>210355.11</c:v>
                </c:pt>
                <c:pt idx="18">
                  <c:v>183960.315</c:v>
                </c:pt>
                <c:pt idx="19">
                  <c:v>160200.18</c:v>
                </c:pt>
                <c:pt idx="20">
                  <c:v>119721.735</c:v>
                </c:pt>
                <c:pt idx="21">
                  <c:v>109584.72</c:v>
                </c:pt>
                <c:pt idx="22">
                  <c:v>82072.514999999999</c:v>
                </c:pt>
                <c:pt idx="23">
                  <c:v>120458</c:v>
                </c:pt>
                <c:pt idx="24">
                  <c:v>73242</c:v>
                </c:pt>
                <c:pt idx="25">
                  <c:v>88570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9-4C9F-9262-A58E16ED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841856"/>
        <c:axId val="198843392"/>
      </c:barChart>
      <c:catAx>
        <c:axId val="1988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84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84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t Ware ! !</a:t>
                </a:r>
              </a:p>
            </c:rich>
          </c:tx>
          <c:layout>
            <c:manualLayout>
              <c:xMode val="edge"/>
              <c:yMode val="edge"/>
              <c:x val="6.5594194366264277E-2"/>
              <c:y val="0.17008755993086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841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de-DE" sz="2400"/>
              <a:t>Kohensaurer Kalk Absatz (Dünger), 
Deutschland, 2004 - 2020</a:t>
            </a:r>
          </a:p>
        </c:rich>
      </c:tx>
      <c:layout>
        <c:manualLayout>
          <c:xMode val="edge"/>
          <c:yMode val="edge"/>
          <c:x val="0.22536162924069381"/>
          <c:y val="2.3882004648408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9595488520138"/>
          <c:y val="0.24383721135981598"/>
          <c:w val="0.76966371904241893"/>
          <c:h val="0.531779279279279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'Daten Jahre Kalktypen'!$E$3</c:f>
              <c:strCache>
                <c:ptCount val="1"/>
                <c:pt idx="0">
                  <c:v>Kohlens. Kalk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10222657837226413"/>
                  <c:y val="-3.928530893097822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numRef>
              <c:f>'Daten Jahre Kalktypen'!$A$15:$A$35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'Daten Jahre Kalktypen'!$E$15:$E$35</c:f>
              <c:numCache>
                <c:formatCode>#,##0</c:formatCode>
                <c:ptCount val="21"/>
                <c:pt idx="0">
                  <c:v>1624700</c:v>
                </c:pt>
                <c:pt idx="1">
                  <c:v>1642798</c:v>
                </c:pt>
                <c:pt idx="2">
                  <c:v>1519894</c:v>
                </c:pt>
                <c:pt idx="3">
                  <c:v>1566788</c:v>
                </c:pt>
                <c:pt idx="4">
                  <c:v>1380206</c:v>
                </c:pt>
                <c:pt idx="5">
                  <c:v>1358966</c:v>
                </c:pt>
                <c:pt idx="6">
                  <c:v>1469070</c:v>
                </c:pt>
                <c:pt idx="7">
                  <c:v>1562518</c:v>
                </c:pt>
                <c:pt idx="8">
                  <c:v>1679869</c:v>
                </c:pt>
                <c:pt idx="9">
                  <c:v>1478348</c:v>
                </c:pt>
                <c:pt idx="10">
                  <c:v>1478355</c:v>
                </c:pt>
                <c:pt idx="11">
                  <c:v>1724713</c:v>
                </c:pt>
                <c:pt idx="12">
                  <c:v>1847978</c:v>
                </c:pt>
                <c:pt idx="13">
                  <c:v>1887175</c:v>
                </c:pt>
                <c:pt idx="14">
                  <c:v>2186609</c:v>
                </c:pt>
                <c:pt idx="15">
                  <c:v>1953732</c:v>
                </c:pt>
                <c:pt idx="16">
                  <c:v>1939635</c:v>
                </c:pt>
                <c:pt idx="17">
                  <c:v>2145757</c:v>
                </c:pt>
                <c:pt idx="18">
                  <c:v>2366341</c:v>
                </c:pt>
                <c:pt idx="19">
                  <c:v>2003305</c:v>
                </c:pt>
                <c:pt idx="20">
                  <c:v>2212523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7-4EB2-9756-06A232E7D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93408"/>
        <c:axId val="198994944"/>
      </c:barChart>
      <c:catAx>
        <c:axId val="198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18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9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t CaO</a:t>
                </a:r>
              </a:p>
            </c:rich>
          </c:tx>
          <c:layout>
            <c:manualLayout>
              <c:xMode val="edge"/>
              <c:yMode val="edge"/>
              <c:x val="8.3887586806276671E-2"/>
              <c:y val="0.164960895039635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de-DE"/>
          </a:p>
        </c:txPr>
        <c:crossAx val="198993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8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de-DE" sz="4800"/>
              <a:t>Branntkalk Absatz (als Düngekalk),
Deutschland, 2004 - 2020</a:t>
            </a:r>
          </a:p>
        </c:rich>
      </c:tx>
      <c:layout>
        <c:manualLayout>
          <c:xMode val="edge"/>
          <c:yMode val="edge"/>
          <c:x val="0.249276120669611"/>
          <c:y val="2.9414848396475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00186381811763"/>
          <c:y val="0.21011917429240265"/>
          <c:w val="0.7998822741299596"/>
          <c:h val="0.55874051216570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'Daten Jahre Kalktypen'!$F$3</c:f>
              <c:strCache>
                <c:ptCount val="1"/>
                <c:pt idx="0">
                  <c:v>Branntkalk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numRef>
              <c:f>'Daten Jahre Kalktypen'!$A$19:$A$34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'Daten Jahre Kalktypen'!$F$19:$F$34</c:f>
              <c:numCache>
                <c:formatCode>#,##0</c:formatCode>
                <c:ptCount val="16"/>
                <c:pt idx="0">
                  <c:v>91048</c:v>
                </c:pt>
                <c:pt idx="1">
                  <c:v>82623</c:v>
                </c:pt>
                <c:pt idx="2">
                  <c:v>69800</c:v>
                </c:pt>
                <c:pt idx="3">
                  <c:v>87397</c:v>
                </c:pt>
                <c:pt idx="4">
                  <c:v>79503</c:v>
                </c:pt>
                <c:pt idx="5">
                  <c:v>64520</c:v>
                </c:pt>
                <c:pt idx="6">
                  <c:v>58455</c:v>
                </c:pt>
                <c:pt idx="7">
                  <c:v>67810</c:v>
                </c:pt>
                <c:pt idx="8">
                  <c:v>74470</c:v>
                </c:pt>
                <c:pt idx="9">
                  <c:v>80984</c:v>
                </c:pt>
                <c:pt idx="10">
                  <c:v>86491</c:v>
                </c:pt>
                <c:pt idx="11">
                  <c:v>85332</c:v>
                </c:pt>
                <c:pt idx="12">
                  <c:v>80836</c:v>
                </c:pt>
                <c:pt idx="13">
                  <c:v>86134</c:v>
                </c:pt>
                <c:pt idx="14">
                  <c:v>84724</c:v>
                </c:pt>
                <c:pt idx="15">
                  <c:v>75851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7-4477-B944-8528AD9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07008"/>
        <c:axId val="184108544"/>
      </c:barChart>
      <c:catAx>
        <c:axId val="1841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940000" vert="horz"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41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0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8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de-DE" sz="2800"/>
                  <a:t>t CaO</a:t>
                </a:r>
              </a:p>
            </c:rich>
          </c:tx>
          <c:layout>
            <c:manualLayout>
              <c:xMode val="edge"/>
              <c:yMode val="edge"/>
              <c:x val="7.2504407809301064E-2"/>
              <c:y val="0.133008969838366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de-DE"/>
          </a:p>
        </c:txPr>
        <c:crossAx val="184107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Marktanteile der Düngekalktypen, 2018; in t</a:t>
            </a:r>
            <a:r>
              <a:rPr lang="de-DE" baseline="0"/>
              <a:t> CaO</a:t>
            </a:r>
            <a:endParaRPr lang="de-DE"/>
          </a:p>
        </c:rich>
      </c:tx>
      <c:layout>
        <c:manualLayout>
          <c:xMode val="edge"/>
          <c:yMode val="edge"/>
          <c:x val="7.0845715157275072E-2"/>
          <c:y val="3.2479562011827549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cat>
          <c:val>
            <c:numRef>
              <c:f>'Daten lfd. CaO Detail'!$F$150:$I$150</c:f>
              <c:numCache>
                <c:formatCode>#,##0</c:formatCode>
                <c:ptCount val="4"/>
                <c:pt idx="0">
                  <c:v>2373439</c:v>
                </c:pt>
                <c:pt idx="1">
                  <c:v>84613</c:v>
                </c:pt>
                <c:pt idx="2">
                  <c:v>176970</c:v>
                </c:pt>
                <c:pt idx="3">
                  <c:v>381401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2-4CB4-81E6-CDDD6CF29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Marktanteile der Düngekalktypen, 2018; in %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4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'Daten lfd. CaO Detail'!$F$4:$I$4</c:f>
              <c:strCache>
                <c:ptCount val="4"/>
                <c:pt idx="0">
                  <c:v>Kohlens. Kalk</c:v>
                </c:pt>
                <c:pt idx="1">
                  <c:v>Brannt-kalk</c:v>
                </c:pt>
                <c:pt idx="2">
                  <c:v>HK-Kalke</c:v>
                </c:pt>
                <c:pt idx="3">
                  <c:v>Andere Kalke</c:v>
                </c:pt>
              </c:strCache>
            </c:strRef>
          </c:cat>
          <c:val>
            <c:numRef>
              <c:f>('Daten lfd. CaO Detail'!$J$150:$K$150,'Daten lfd. CaO Detail'!$M$150:$N$150)</c:f>
              <c:numCache>
                <c:formatCode>0.0</c:formatCode>
                <c:ptCount val="4"/>
                <c:pt idx="0">
                  <c:v>78.683891483389431</c:v>
                </c:pt>
                <c:pt idx="1">
                  <c:v>2.8050774045947797</c:v>
                </c:pt>
                <c:pt idx="2">
                  <c:v>5.8668827283176137</c:v>
                </c:pt>
                <c:pt idx="3">
                  <c:v>12.644148383698175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3-456B-97DB-07B5EC38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8296421324025"/>
          <c:y val="0.25040677996058575"/>
          <c:w val="0.74185311123310427"/>
          <c:h val="0.513593679577931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'Kalk gesamt D'!$A$4</c:f>
              <c:strCache>
                <c:ptCount val="1"/>
                <c:pt idx="0">
                  <c:v>I. Quartal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'Kalk gesamt D'!$B$3:$Y$3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'Kalk gesamt D'!$B$4:$Y$4</c:f>
              <c:numCache>
                <c:formatCode>#,##0</c:formatCode>
                <c:ptCount val="11"/>
                <c:pt idx="0">
                  <c:v>199677</c:v>
                </c:pt>
                <c:pt idx="1">
                  <c:v>423022</c:v>
                </c:pt>
                <c:pt idx="2">
                  <c:v>411875</c:v>
                </c:pt>
                <c:pt idx="3">
                  <c:v>305356</c:v>
                </c:pt>
                <c:pt idx="4">
                  <c:v>556202</c:v>
                </c:pt>
                <c:pt idx="5">
                  <c:v>429297</c:v>
                </c:pt>
                <c:pt idx="6">
                  <c:v>327397</c:v>
                </c:pt>
                <c:pt idx="7">
                  <c:v>472535</c:v>
                </c:pt>
                <c:pt idx="8">
                  <c:v>444805</c:v>
                </c:pt>
                <c:pt idx="9">
                  <c:v>438350</c:v>
                </c:pt>
                <c:pt idx="10">
                  <c:v>424611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C-47EB-BEA2-0DD8C38180D5}"/>
            </c:ext>
          </c:extLst>
        </c:ser>
        <c:ser>
          <c:idx val="1"/>
          <c:order val="1"/>
          <c:tx>
            <c:strRef>
              <c:f>'Kalk gesamt D'!$A$5</c:f>
              <c:strCache>
                <c:ptCount val="1"/>
                <c:pt idx="0">
                  <c:v>II. Quartal</c:v>
                </c:pt>
              </c:strCache>
            </c:strRef>
          </c:tx>
          <c:spPr>
            <a:solidFill>
              <a:srgbClr val="D22EC6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'Kalk gesamt D'!$B$3:$Y$3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'Kalk gesamt D'!$B$5:$Y$5</c:f>
              <c:numCache>
                <c:formatCode>#,##0</c:formatCode>
                <c:ptCount val="11"/>
                <c:pt idx="0">
                  <c:v>452968</c:v>
                </c:pt>
                <c:pt idx="1">
                  <c:v>447724</c:v>
                </c:pt>
                <c:pt idx="2">
                  <c:v>459554</c:v>
                </c:pt>
                <c:pt idx="3">
                  <c:v>545242</c:v>
                </c:pt>
                <c:pt idx="4">
                  <c:v>573753</c:v>
                </c:pt>
                <c:pt idx="5">
                  <c:v>517982</c:v>
                </c:pt>
                <c:pt idx="6">
                  <c:v>469786</c:v>
                </c:pt>
                <c:pt idx="7">
                  <c:v>507382</c:v>
                </c:pt>
                <c:pt idx="8">
                  <c:v>715358</c:v>
                </c:pt>
                <c:pt idx="9">
                  <c:v>571802</c:v>
                </c:pt>
                <c:pt idx="10">
                  <c:v>697152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C-47EB-BEA2-0DD8C38180D5}"/>
            </c:ext>
          </c:extLst>
        </c:ser>
        <c:ser>
          <c:idx val="2"/>
          <c:order val="2"/>
          <c:tx>
            <c:strRef>
              <c:f>'Kalk gesamt D'!$A$6</c:f>
              <c:strCache>
                <c:ptCount val="1"/>
                <c:pt idx="0">
                  <c:v>III. Quartal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1C-47EB-BEA2-0DD8C38180D5}"/>
              </c:ext>
            </c:extLst>
          </c:dPt>
          <c:cat>
            <c:numRef>
              <c:f>'Kalk gesamt D'!$B$3:$Y$3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'Kalk gesamt D'!$H$6:$Y$6</c:f>
              <c:numCache>
                <c:formatCode>#,##0</c:formatCode>
                <c:ptCount val="11"/>
                <c:pt idx="0">
                  <c:v>1042272</c:v>
                </c:pt>
                <c:pt idx="1">
                  <c:v>1100277</c:v>
                </c:pt>
                <c:pt idx="2">
                  <c:v>1277441</c:v>
                </c:pt>
                <c:pt idx="3">
                  <c:v>1318518</c:v>
                </c:pt>
                <c:pt idx="4">
                  <c:v>1366101</c:v>
                </c:pt>
                <c:pt idx="5">
                  <c:v>1309065</c:v>
                </c:pt>
                <c:pt idx="6">
                  <c:v>1239068</c:v>
                </c:pt>
                <c:pt idx="7">
                  <c:v>1435414</c:v>
                </c:pt>
                <c:pt idx="8">
                  <c:v>1449173</c:v>
                </c:pt>
                <c:pt idx="9">
                  <c:v>1275240</c:v>
                </c:pt>
                <c:pt idx="10">
                  <c:v>1266822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1C-47EB-BEA2-0DD8C38180D5}"/>
            </c:ext>
          </c:extLst>
        </c:ser>
        <c:ser>
          <c:idx val="3"/>
          <c:order val="3"/>
          <c:tx>
            <c:strRef>
              <c:f>'Kalk gesamt D'!$A$7</c:f>
              <c:strCache>
                <c:ptCount val="1"/>
                <c:pt idx="0">
                  <c:v>IV. Quartal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1C-47EB-BEA2-0DD8C38180D5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00"/>
              </a:solidFill>
              <a:ln w="25400">
                <a:solidFill>
                  <a:srgbClr val="6633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C1C-47EB-BEA2-0DD8C38180D5}"/>
              </c:ext>
            </c:extLst>
          </c:dPt>
          <c:cat>
            <c:numRef>
              <c:f>'Kalk gesamt D'!$B$3:$Y$3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'Kalk gesamt D'!$H$7:$Y$7</c:f>
              <c:numCache>
                <c:formatCode>#,##0</c:formatCode>
                <c:ptCount val="11"/>
                <c:pt idx="0">
                  <c:v>361211</c:v>
                </c:pt>
                <c:pt idx="1">
                  <c:v>409866</c:v>
                </c:pt>
                <c:pt idx="2">
                  <c:v>399198</c:v>
                </c:pt>
                <c:pt idx="3">
                  <c:v>416548</c:v>
                </c:pt>
                <c:pt idx="4">
                  <c:v>439125</c:v>
                </c:pt>
                <c:pt idx="5">
                  <c:v>326592</c:v>
                </c:pt>
                <c:pt idx="6">
                  <c:v>418982</c:v>
                </c:pt>
                <c:pt idx="7">
                  <c:v>337968</c:v>
                </c:pt>
                <c:pt idx="8">
                  <c:v>407087</c:v>
                </c:pt>
                <c:pt idx="9">
                  <c:v>314670</c:v>
                </c:pt>
                <c:pt idx="10">
                  <c:v>405284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1C-47EB-BEA2-0DD8C3818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898432"/>
        <c:axId val="180904320"/>
      </c:barChart>
      <c:catAx>
        <c:axId val="1808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04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9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0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00"/>
                  <a:t>t CaO</a:t>
                </a:r>
              </a:p>
            </c:rich>
          </c:tx>
          <c:layout>
            <c:manualLayout>
              <c:xMode val="edge"/>
              <c:yMode val="edge"/>
              <c:x val="5.7463728645964177E-2"/>
              <c:y val="0.166155907279266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898432"/>
        <c:crosses val="autoZero"/>
        <c:crossBetween val="between"/>
      </c:valAx>
      <c:spPr>
        <a:noFill/>
        <a:ln w="25400">
          <a:solidFill>
            <a:srgbClr val="0000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58115862468289"/>
          <c:y val="0.8749015968963475"/>
          <c:w val="0.56009100319275917"/>
          <c:h val="5.9701527122352438E-2"/>
        </c:manualLayout>
      </c:layout>
      <c:overlay val="0"/>
      <c:spPr>
        <a:solidFill>
          <a:srgbClr val="CCFFCC"/>
        </a:solidFill>
        <a:ln w="38100">
          <a:solidFill>
            <a:srgbClr val="0000FF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24688611003917"/>
          <c:y val="0.25874104220118554"/>
          <c:w val="0.76311621631237703"/>
          <c:h val="0.559420564374059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Jahre Kalktypen'!$E$3</c:f>
              <c:strCache>
                <c:ptCount val="1"/>
                <c:pt idx="0">
                  <c:v>Kohlens. Kalk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Kalktypen'!$A$23:$A$35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'Daten Jahre Kalktypen'!$E$23:$E$35</c:f>
              <c:numCache>
                <c:formatCode>#,##0</c:formatCode>
                <c:ptCount val="13"/>
                <c:pt idx="0">
                  <c:v>1679869</c:v>
                </c:pt>
                <c:pt idx="1">
                  <c:v>1478348</c:v>
                </c:pt>
                <c:pt idx="2">
                  <c:v>1478355</c:v>
                </c:pt>
                <c:pt idx="3">
                  <c:v>1724713</c:v>
                </c:pt>
                <c:pt idx="4">
                  <c:v>1847978</c:v>
                </c:pt>
                <c:pt idx="5">
                  <c:v>1887175</c:v>
                </c:pt>
                <c:pt idx="6">
                  <c:v>2186609</c:v>
                </c:pt>
                <c:pt idx="7">
                  <c:v>1953732</c:v>
                </c:pt>
                <c:pt idx="8">
                  <c:v>1939635</c:v>
                </c:pt>
                <c:pt idx="9">
                  <c:v>2145757</c:v>
                </c:pt>
                <c:pt idx="10">
                  <c:v>2366341</c:v>
                </c:pt>
                <c:pt idx="11">
                  <c:v>2003305</c:v>
                </c:pt>
                <c:pt idx="12">
                  <c:v>2212523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F-427F-8648-55646870A8FD}"/>
            </c:ext>
          </c:extLst>
        </c:ser>
        <c:ser>
          <c:idx val="2"/>
          <c:order val="1"/>
          <c:tx>
            <c:strRef>
              <c:f>'Daten Jahre Kalktypen'!$F$3</c:f>
              <c:strCache>
                <c:ptCount val="1"/>
                <c:pt idx="0">
                  <c:v>Branntkalk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Kalktypen'!$A$23:$A$35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'Daten Jahre Kalktypen'!$F$23:$F$35</c:f>
              <c:numCache>
                <c:formatCode>#,##0</c:formatCode>
                <c:ptCount val="13"/>
                <c:pt idx="0">
                  <c:v>79503</c:v>
                </c:pt>
                <c:pt idx="1">
                  <c:v>64520</c:v>
                </c:pt>
                <c:pt idx="2">
                  <c:v>58455</c:v>
                </c:pt>
                <c:pt idx="3">
                  <c:v>67810</c:v>
                </c:pt>
                <c:pt idx="4">
                  <c:v>74470</c:v>
                </c:pt>
                <c:pt idx="5">
                  <c:v>80984</c:v>
                </c:pt>
                <c:pt idx="6">
                  <c:v>86491</c:v>
                </c:pt>
                <c:pt idx="7">
                  <c:v>85332</c:v>
                </c:pt>
                <c:pt idx="8">
                  <c:v>80836</c:v>
                </c:pt>
                <c:pt idx="9">
                  <c:v>86134</c:v>
                </c:pt>
                <c:pt idx="10">
                  <c:v>84724</c:v>
                </c:pt>
                <c:pt idx="11">
                  <c:v>75851</c:v>
                </c:pt>
                <c:pt idx="12">
                  <c:v>72527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F-427F-8648-55646870A8FD}"/>
            </c:ext>
          </c:extLst>
        </c:ser>
        <c:ser>
          <c:idx val="3"/>
          <c:order val="2"/>
          <c:tx>
            <c:strRef>
              <c:f>'Daten Jahre Kalktypen'!$G$3</c:f>
              <c:strCache>
                <c:ptCount val="1"/>
                <c:pt idx="0">
                  <c:v>HK-Kalke</c:v>
                </c:pt>
              </c:strCache>
            </c:strRef>
          </c:tx>
          <c:spPr>
            <a:pattFill prst="pct10">
              <a:fgClr>
                <a:srgbClr val="59595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Kalktypen'!$A$23:$A$35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'Daten Jahre Kalktypen'!$G$23:$G$35</c:f>
              <c:numCache>
                <c:formatCode>#,##0</c:formatCode>
                <c:ptCount val="13"/>
                <c:pt idx="0">
                  <c:v>219630</c:v>
                </c:pt>
                <c:pt idx="1">
                  <c:v>194255</c:v>
                </c:pt>
                <c:pt idx="2">
                  <c:v>191647</c:v>
                </c:pt>
                <c:pt idx="3">
                  <c:v>217675</c:v>
                </c:pt>
                <c:pt idx="4">
                  <c:v>256668</c:v>
                </c:pt>
                <c:pt idx="5">
                  <c:v>264382</c:v>
                </c:pt>
                <c:pt idx="6">
                  <c:v>246209</c:v>
                </c:pt>
                <c:pt idx="7">
                  <c:v>207096</c:v>
                </c:pt>
                <c:pt idx="8">
                  <c:v>142328</c:v>
                </c:pt>
                <c:pt idx="9">
                  <c:v>165770</c:v>
                </c:pt>
                <c:pt idx="10">
                  <c:v>176970</c:v>
                </c:pt>
                <c:pt idx="11">
                  <c:v>184460</c:v>
                </c:pt>
                <c:pt idx="12">
                  <c:v>156893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F-427F-8648-55646870A8FD}"/>
            </c:ext>
          </c:extLst>
        </c:ser>
        <c:ser>
          <c:idx val="4"/>
          <c:order val="3"/>
          <c:tx>
            <c:strRef>
              <c:f>'Daten Jahre Kalktypen'!$H$3</c:f>
              <c:strCache>
                <c:ptCount val="1"/>
                <c:pt idx="0">
                  <c:v>Andere Kalke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Jahre Kalktypen'!$A$23:$A$35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'Daten Jahre Kalktypen'!$H$23:$H$35</c:f>
              <c:numCache>
                <c:formatCode>#,##0</c:formatCode>
                <c:ptCount val="13"/>
                <c:pt idx="0">
                  <c:v>468886</c:v>
                </c:pt>
                <c:pt idx="1">
                  <c:v>363107</c:v>
                </c:pt>
                <c:pt idx="2">
                  <c:v>321087</c:v>
                </c:pt>
                <c:pt idx="3">
                  <c:v>370026</c:v>
                </c:pt>
                <c:pt idx="4">
                  <c:v>368952</c:v>
                </c:pt>
                <c:pt idx="5">
                  <c:v>353123</c:v>
                </c:pt>
                <c:pt idx="6">
                  <c:v>415872</c:v>
                </c:pt>
                <c:pt idx="7">
                  <c:v>447529</c:v>
                </c:pt>
                <c:pt idx="8">
                  <c:v>294968</c:v>
                </c:pt>
                <c:pt idx="9">
                  <c:v>349223</c:v>
                </c:pt>
                <c:pt idx="10">
                  <c:v>381401</c:v>
                </c:pt>
                <c:pt idx="11">
                  <c:v>336446</c:v>
                </c:pt>
                <c:pt idx="12">
                  <c:v>351926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F-427F-8648-55646870A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858816"/>
        <c:axId val="197860352"/>
      </c:barChart>
      <c:catAx>
        <c:axId val="1978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8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860352"/>
        <c:scaling>
          <c:orientation val="minMax"/>
          <c:max val="3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t CaO</a:t>
                </a:r>
              </a:p>
            </c:rich>
          </c:tx>
          <c:layout>
            <c:manualLayout>
              <c:xMode val="edge"/>
              <c:yMode val="edge"/>
              <c:x val="6.2341440687207456E-2"/>
              <c:y val="0.17496507603758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85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54928540818356"/>
          <c:y val="0.89080700239140331"/>
          <c:w val="0.54347833480062635"/>
          <c:h val="5.9701527122352438E-2"/>
        </c:manualLayout>
      </c:layout>
      <c:overlay val="0"/>
      <c:spPr>
        <a:solidFill>
          <a:srgbClr val="CCFFCC"/>
        </a:solidFill>
        <a:ln w="38100">
          <a:solidFill>
            <a:srgbClr val="0000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9402426652367"/>
          <c:y val="0.26294974070389332"/>
          <c:w val="0.75473469749788236"/>
          <c:h val="0.52925239978805472"/>
        </c:manualLayout>
      </c:layout>
      <c:lineChart>
        <c:grouping val="standard"/>
        <c:varyColors val="0"/>
        <c:ser>
          <c:idx val="0"/>
          <c:order val="0"/>
          <c:tx>
            <c:strRef>
              <c:f>'Daten Jahre Kalktypen'!$A$19:$A$35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tx>
          <c:spPr>
            <a:ln w="50800"/>
          </c:spPr>
          <c:trendline>
            <c:spPr>
              <a:ln w="31750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numRef>
              <c:f>'Daten Jahre Kalktypen'!$A$19:$A$35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'Daten Jahre Kalktypen'!$B$19:$B$35</c:f>
              <c:numCache>
                <c:formatCode>#,##0</c:formatCode>
                <c:ptCount val="17"/>
                <c:pt idx="0">
                  <c:v>1955514</c:v>
                </c:pt>
                <c:pt idx="1">
                  <c:v>1922645</c:v>
                </c:pt>
                <c:pt idx="2">
                  <c:v>2000098</c:v>
                </c:pt>
                <c:pt idx="3">
                  <c:v>2164771</c:v>
                </c:pt>
                <c:pt idx="4">
                  <c:v>2447888</c:v>
                </c:pt>
                <c:pt idx="5">
                  <c:v>2447889</c:v>
                </c:pt>
                <c:pt idx="6">
                  <c:v>2070206</c:v>
                </c:pt>
                <c:pt idx="7">
                  <c:v>2380224</c:v>
                </c:pt>
                <c:pt idx="8">
                  <c:v>2548068</c:v>
                </c:pt>
                <c:pt idx="9">
                  <c:v>2585664</c:v>
                </c:pt>
                <c:pt idx="10">
                  <c:v>2935181</c:v>
                </c:pt>
                <c:pt idx="11">
                  <c:v>2693689</c:v>
                </c:pt>
                <c:pt idx="12">
                  <c:v>2457767</c:v>
                </c:pt>
                <c:pt idx="13">
                  <c:v>2746884</c:v>
                </c:pt>
                <c:pt idx="14">
                  <c:v>3039104</c:v>
                </c:pt>
                <c:pt idx="15">
                  <c:v>2600062</c:v>
                </c:pt>
                <c:pt idx="16">
                  <c:v>2793869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7-49F8-A0F0-F5F6C6D8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42752"/>
        <c:axId val="72048640"/>
      </c:lineChart>
      <c:catAx>
        <c:axId val="720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48640"/>
        <c:crosses val="autoZero"/>
        <c:auto val="1"/>
        <c:lblAlgn val="ctr"/>
        <c:lblOffset val="100"/>
        <c:noMultiLvlLbl val="0"/>
      </c:catAx>
      <c:valAx>
        <c:axId val="72048640"/>
        <c:scaling>
          <c:orientation val="minMax"/>
          <c:max val="3200000"/>
          <c:min val="18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4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64372768911906"/>
          <c:y val="0.26259582056059788"/>
          <c:w val="0.41515881819072586"/>
          <c:h val="0.20819598886017113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000363067008555"/>
          <c:y val="0.24520583216071376"/>
          <c:w val="0.79903367446504348"/>
          <c:h val="0.54135544843966743"/>
        </c:manualLayout>
      </c:layout>
      <c:lineChart>
        <c:grouping val="standard"/>
        <c:varyColors val="0"/>
        <c:ser>
          <c:idx val="0"/>
          <c:order val="0"/>
          <c:tx>
            <c:strRef>
              <c:f>'Daten Jahre Kalktypen'!$B$4</c:f>
              <c:strCache>
                <c:ptCount val="1"/>
                <c:pt idx="0">
                  <c:v>t CaO</c:v>
                </c:pt>
              </c:strCache>
            </c:strRef>
          </c:tx>
          <c:spPr>
            <a:ln w="50800"/>
          </c:spPr>
          <c:marker>
            <c:symbol val="none"/>
          </c:marker>
          <c:trendline>
            <c:spPr>
              <a:ln w="12700" cmpd="sng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trendline>
            <c:spPr>
              <a:ln w="317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'Daten Jahre Kalktypen'!$A$6:$A$35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'Daten Jahre Kalktypen'!$B$6:$B$35</c:f>
              <c:numCache>
                <c:formatCode>#,##0</c:formatCode>
                <c:ptCount val="30"/>
                <c:pt idx="0">
                  <c:v>1541058</c:v>
                </c:pt>
                <c:pt idx="1">
                  <c:v>1420029</c:v>
                </c:pt>
                <c:pt idx="2">
                  <c:v>1604517</c:v>
                </c:pt>
                <c:pt idx="3">
                  <c:v>1725642</c:v>
                </c:pt>
                <c:pt idx="4">
                  <c:v>1784176</c:v>
                </c:pt>
                <c:pt idx="5">
                  <c:v>1894366</c:v>
                </c:pt>
                <c:pt idx="6">
                  <c:v>2095006</c:v>
                </c:pt>
                <c:pt idx="7">
                  <c:v>2006930</c:v>
                </c:pt>
                <c:pt idx="8">
                  <c:v>2191165</c:v>
                </c:pt>
                <c:pt idx="9">
                  <c:v>2274786</c:v>
                </c:pt>
                <c:pt idx="10">
                  <c:v>2279123</c:v>
                </c:pt>
                <c:pt idx="11">
                  <c:v>2128207</c:v>
                </c:pt>
                <c:pt idx="12">
                  <c:v>2182394</c:v>
                </c:pt>
                <c:pt idx="13">
                  <c:v>1955514</c:v>
                </c:pt>
                <c:pt idx="14">
                  <c:v>1922645</c:v>
                </c:pt>
                <c:pt idx="15">
                  <c:v>2000098</c:v>
                </c:pt>
                <c:pt idx="16">
                  <c:v>2164771</c:v>
                </c:pt>
                <c:pt idx="17">
                  <c:v>2447888</c:v>
                </c:pt>
                <c:pt idx="18">
                  <c:v>2447889</c:v>
                </c:pt>
                <c:pt idx="19">
                  <c:v>2070206</c:v>
                </c:pt>
                <c:pt idx="20">
                  <c:v>2380224</c:v>
                </c:pt>
                <c:pt idx="21">
                  <c:v>2548068</c:v>
                </c:pt>
                <c:pt idx="22">
                  <c:v>2585664</c:v>
                </c:pt>
                <c:pt idx="23">
                  <c:v>2935181</c:v>
                </c:pt>
                <c:pt idx="24">
                  <c:v>2693689</c:v>
                </c:pt>
                <c:pt idx="25">
                  <c:v>2457767</c:v>
                </c:pt>
                <c:pt idx="26">
                  <c:v>2746884</c:v>
                </c:pt>
                <c:pt idx="27">
                  <c:v>3039104</c:v>
                </c:pt>
                <c:pt idx="28">
                  <c:v>2600062</c:v>
                </c:pt>
                <c:pt idx="29">
                  <c:v>2793869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7-43B4-9727-56BDD5055CDC}"/>
            </c:ext>
          </c:extLst>
        </c:ser>
        <c:ser>
          <c:idx val="1"/>
          <c:order val="1"/>
          <c:marker>
            <c:symbol val="circle"/>
            <c:size val="5"/>
          </c:marker>
          <c:cat>
            <c:numRef>
              <c:f>'Daten Jahre Kalktypen'!$A$6:$A$35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'Daten Jahre Kalktypen'!$B$6:$B$34</c:f>
              <c:numCache>
                <c:formatCode>#,##0</c:formatCode>
                <c:ptCount val="29"/>
                <c:pt idx="0">
                  <c:v>1541058</c:v>
                </c:pt>
                <c:pt idx="1">
                  <c:v>1420029</c:v>
                </c:pt>
                <c:pt idx="2">
                  <c:v>1604517</c:v>
                </c:pt>
                <c:pt idx="3">
                  <c:v>1725642</c:v>
                </c:pt>
                <c:pt idx="4">
                  <c:v>1784176</c:v>
                </c:pt>
                <c:pt idx="5">
                  <c:v>1894366</c:v>
                </c:pt>
                <c:pt idx="6">
                  <c:v>2095006</c:v>
                </c:pt>
                <c:pt idx="7">
                  <c:v>2006930</c:v>
                </c:pt>
                <c:pt idx="8">
                  <c:v>2191165</c:v>
                </c:pt>
                <c:pt idx="9">
                  <c:v>2274786</c:v>
                </c:pt>
                <c:pt idx="10">
                  <c:v>2279123</c:v>
                </c:pt>
                <c:pt idx="11">
                  <c:v>2128207</c:v>
                </c:pt>
                <c:pt idx="12">
                  <c:v>2182394</c:v>
                </c:pt>
                <c:pt idx="13">
                  <c:v>1955514</c:v>
                </c:pt>
                <c:pt idx="14">
                  <c:v>1922645</c:v>
                </c:pt>
                <c:pt idx="15">
                  <c:v>2000098</c:v>
                </c:pt>
                <c:pt idx="16">
                  <c:v>2164771</c:v>
                </c:pt>
                <c:pt idx="17">
                  <c:v>2447888</c:v>
                </c:pt>
                <c:pt idx="18">
                  <c:v>2447889</c:v>
                </c:pt>
                <c:pt idx="19">
                  <c:v>2070206</c:v>
                </c:pt>
                <c:pt idx="20">
                  <c:v>2380224</c:v>
                </c:pt>
                <c:pt idx="21">
                  <c:v>2548068</c:v>
                </c:pt>
                <c:pt idx="22">
                  <c:v>2585664</c:v>
                </c:pt>
                <c:pt idx="23">
                  <c:v>2935181</c:v>
                </c:pt>
                <c:pt idx="24">
                  <c:v>2693689</c:v>
                </c:pt>
                <c:pt idx="25">
                  <c:v>2457767</c:v>
                </c:pt>
                <c:pt idx="26">
                  <c:v>2746884</c:v>
                </c:pt>
                <c:pt idx="27">
                  <c:v>3039104</c:v>
                </c:pt>
                <c:pt idx="28">
                  <c:v>2600062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7-43B4-9727-56BDD505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95520"/>
        <c:axId val="197997312"/>
      </c:lineChart>
      <c:catAx>
        <c:axId val="1979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997312"/>
        <c:crosses val="autoZero"/>
        <c:auto val="1"/>
        <c:lblAlgn val="ctr"/>
        <c:lblOffset val="100"/>
        <c:noMultiLvlLbl val="0"/>
      </c:catAx>
      <c:valAx>
        <c:axId val="197997312"/>
        <c:scaling>
          <c:orientation val="minMax"/>
          <c:max val="3200000"/>
          <c:min val="12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7995520"/>
        <c:crosses val="autoZero"/>
        <c:crossBetween val="between"/>
        <c:majorUnit val="200000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155227415911436"/>
          <c:y val="0.27811609984922098"/>
          <c:w val="0.18405439460016612"/>
          <c:h val="0.1413377849045465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693495943967123"/>
          <c:y val="0.23535217130374433"/>
          <c:w val="0.79220308852922516"/>
          <c:h val="0.56598947060929805"/>
        </c:manualLayout>
      </c:layout>
      <c:lineChart>
        <c:grouping val="standard"/>
        <c:varyColors val="0"/>
        <c:ser>
          <c:idx val="1"/>
          <c:order val="0"/>
          <c:tx>
            <c:strRef>
              <c:f>'Daten Jahre Kalktypen'!$I$3</c:f>
              <c:strCache>
                <c:ptCount val="1"/>
                <c:pt idx="0">
                  <c:v>Kohlens. Kalk</c:v>
                </c:pt>
              </c:strCache>
            </c:strRef>
          </c:tx>
          <c:spPr>
            <a:ln w="34925">
              <a:solidFill>
                <a:srgbClr val="006600"/>
              </a:solidFill>
              <a:prstDash val="solid"/>
            </a:ln>
          </c:spPr>
          <c:marker>
            <c:symbol val="circle"/>
            <c:size val="5"/>
          </c:marker>
          <c:cat>
            <c:numRef>
              <c:f>'Daten Jahre Kalktypen'!$A$5:$A$34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'Daten Jahre Kalktypen'!$I$5:$I$34</c:f>
              <c:numCache>
                <c:formatCode>0.0</c:formatCode>
                <c:ptCount val="30"/>
                <c:pt idx="0">
                  <c:v>60.142985924309379</c:v>
                </c:pt>
                <c:pt idx="1">
                  <c:v>65.095019136203831</c:v>
                </c:pt>
                <c:pt idx="2">
                  <c:v>65.860908474404397</c:v>
                </c:pt>
                <c:pt idx="3">
                  <c:v>68.079552912184795</c:v>
                </c:pt>
                <c:pt idx="4">
                  <c:v>74.305504849789244</c:v>
                </c:pt>
                <c:pt idx="5">
                  <c:v>74.32321699204563</c:v>
                </c:pt>
                <c:pt idx="6">
                  <c:v>70.38127795790254</c:v>
                </c:pt>
                <c:pt idx="7">
                  <c:v>72.32580718145914</c:v>
                </c:pt>
                <c:pt idx="8">
                  <c:v>71.258588989152585</c:v>
                </c:pt>
                <c:pt idx="9">
                  <c:v>70.65903298017264</c:v>
                </c:pt>
                <c:pt idx="10">
                  <c:v>71.422103002216474</c:v>
                </c:pt>
                <c:pt idx="11">
                  <c:v>72.08026947207324</c:v>
                </c:pt>
                <c:pt idx="12">
                  <c:v>71.416643211868021</c:v>
                </c:pt>
                <c:pt idx="13">
                  <c:v>71.792169516595081</c:v>
                </c:pt>
                <c:pt idx="14">
                  <c:v>70.580215738675349</c:v>
                </c:pt>
                <c:pt idx="15">
                  <c:v>70.682107201277404</c:v>
                </c:pt>
                <c:pt idx="16">
                  <c:v>73.449900954853206</c:v>
                </c:pt>
                <c:pt idx="17">
                  <c:v>72.179366778287402</c:v>
                </c:pt>
                <c:pt idx="18">
                  <c:v>72.179366778287402</c:v>
                </c:pt>
                <c:pt idx="19">
                  <c:v>72.179366778287402</c:v>
                </c:pt>
                <c:pt idx="20">
                  <c:v>71.411009339167208</c:v>
                </c:pt>
                <c:pt idx="21">
                  <c:v>72.460112997768277</c:v>
                </c:pt>
                <c:pt idx="22">
                  <c:v>72.524673595838095</c:v>
                </c:pt>
                <c:pt idx="23">
                  <c:v>72.986087906239945</c:v>
                </c:pt>
                <c:pt idx="24">
                  <c:v>74.496564266394472</c:v>
                </c:pt>
                <c:pt idx="25">
                  <c:v>72.529976548888911</c:v>
                </c:pt>
                <c:pt idx="26">
                  <c:v>78.918587482051791</c:v>
                </c:pt>
                <c:pt idx="27">
                  <c:v>78.116039847332459</c:v>
                </c:pt>
                <c:pt idx="28">
                  <c:v>77.86311360190372</c:v>
                </c:pt>
                <c:pt idx="29">
                  <c:v>77.090155658425232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4-4A68-A961-EF12CF3A55EF}"/>
            </c:ext>
          </c:extLst>
        </c:ser>
        <c:ser>
          <c:idx val="3"/>
          <c:order val="1"/>
          <c:tx>
            <c:strRef>
              <c:f>'Daten Jahre Kalktypen'!$L$3</c:f>
              <c:strCache>
                <c:ptCount val="1"/>
                <c:pt idx="0">
                  <c:v>Andere Kalke</c:v>
                </c:pt>
              </c:strCache>
            </c:strRef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'Daten Jahre Kalktypen'!$A$5:$A$34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'Daten Jahre Kalktypen'!$L$5:$L$34</c:f>
              <c:numCache>
                <c:formatCode>0.0</c:formatCode>
                <c:ptCount val="30"/>
                <c:pt idx="0">
                  <c:v>13.031273979205036</c:v>
                </c:pt>
                <c:pt idx="1">
                  <c:v>10.894722976033348</c:v>
                </c:pt>
                <c:pt idx="2">
                  <c:v>14.142105548548656</c:v>
                </c:pt>
                <c:pt idx="3">
                  <c:v>14.524308561392619</c:v>
                </c:pt>
                <c:pt idx="4">
                  <c:v>10.768861675828473</c:v>
                </c:pt>
                <c:pt idx="5">
                  <c:v>10.539879473773887</c:v>
                </c:pt>
                <c:pt idx="6">
                  <c:v>16.058301299748834</c:v>
                </c:pt>
                <c:pt idx="7">
                  <c:v>13.03137079321014</c:v>
                </c:pt>
                <c:pt idx="8">
                  <c:v>16.079584240606298</c:v>
                </c:pt>
                <c:pt idx="9">
                  <c:v>16.315156549141665</c:v>
                </c:pt>
                <c:pt idx="10">
                  <c:v>16.260826293110647</c:v>
                </c:pt>
                <c:pt idx="11">
                  <c:v>16.113259354585075</c:v>
                </c:pt>
                <c:pt idx="12">
                  <c:v>15.140068611746885</c:v>
                </c:pt>
                <c:pt idx="13">
                  <c:v>15.926592540118786</c:v>
                </c:pt>
                <c:pt idx="14">
                  <c:v>17.90649414936431</c:v>
                </c:pt>
                <c:pt idx="15">
                  <c:v>17.431195046407424</c:v>
                </c:pt>
                <c:pt idx="16">
                  <c:v>14.266000965952669</c:v>
                </c:pt>
                <c:pt idx="17">
                  <c:v>14.715274733447556</c:v>
                </c:pt>
                <c:pt idx="18">
                  <c:v>14.715274733447556</c:v>
                </c:pt>
                <c:pt idx="19">
                  <c:v>14.715274733447556</c:v>
                </c:pt>
                <c:pt idx="20">
                  <c:v>15.509905777492675</c:v>
                </c:pt>
                <c:pt idx="21">
                  <c:v>15.545847785754619</c:v>
                </c:pt>
                <c:pt idx="22">
                  <c:v>14.479676366564787</c:v>
                </c:pt>
                <c:pt idx="23">
                  <c:v>13.656956201579169</c:v>
                </c:pt>
                <c:pt idx="24">
                  <c:v>14.168529981626346</c:v>
                </c:pt>
                <c:pt idx="25">
                  <c:v>16.613981792255899</c:v>
                </c:pt>
                <c:pt idx="26">
                  <c:v>12.001463116723432</c:v>
                </c:pt>
                <c:pt idx="27">
                  <c:v>12.713423646575539</c:v>
                </c:pt>
                <c:pt idx="28">
                  <c:v>13.525993187465779</c:v>
                </c:pt>
                <c:pt idx="29">
                  <c:v>12.91635538308803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4-4A68-A961-EF12CF3A55EF}"/>
            </c:ext>
          </c:extLst>
        </c:ser>
        <c:ser>
          <c:idx val="2"/>
          <c:order val="2"/>
          <c:tx>
            <c:strRef>
              <c:f>'Daten Jahre Kalktypen'!$K$3</c:f>
              <c:strCache>
                <c:ptCount val="1"/>
                <c:pt idx="0">
                  <c:v>HK- Kalke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'Daten Jahre Kalktypen'!$A$5:$A$34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'Daten Jahre Kalktypen'!$K$5:$K$34</c:f>
              <c:numCache>
                <c:formatCode>0.0</c:formatCode>
                <c:ptCount val="30"/>
                <c:pt idx="0">
                  <c:v>13.198351710130328</c:v>
                </c:pt>
                <c:pt idx="1">
                  <c:v>12.59316651287622</c:v>
                </c:pt>
                <c:pt idx="2">
                  <c:v>9.9808525037164735</c:v>
                </c:pt>
                <c:pt idx="3">
                  <c:v>9.0429705637272768</c:v>
                </c:pt>
                <c:pt idx="4">
                  <c:v>7.3809051935453587</c:v>
                </c:pt>
                <c:pt idx="5">
                  <c:v>8.0373236721040975</c:v>
                </c:pt>
                <c:pt idx="6">
                  <c:v>7.518082566937963</c:v>
                </c:pt>
                <c:pt idx="7">
                  <c:v>7.7799299858807087</c:v>
                </c:pt>
                <c:pt idx="8">
                  <c:v>6.8738819988739017</c:v>
                </c:pt>
                <c:pt idx="9">
                  <c:v>7.3847930210641373</c:v>
                </c:pt>
                <c:pt idx="10">
                  <c:v>6.7647682023715641</c:v>
                </c:pt>
                <c:pt idx="11">
                  <c:v>6.8066971374515548</c:v>
                </c:pt>
                <c:pt idx="12">
                  <c:v>7.871790666979293</c:v>
                </c:pt>
                <c:pt idx="13">
                  <c:v>7.5087724764639194</c:v>
                </c:pt>
                <c:pt idx="14">
                  <c:v>6.8573275363919661</c:v>
                </c:pt>
                <c:pt idx="15">
                  <c:v>7.5893365649924975</c:v>
                </c:pt>
                <c:pt idx="16">
                  <c:v>8.7942690808150399</c:v>
                </c:pt>
                <c:pt idx="17">
                  <c:v>9.0681185215433882</c:v>
                </c:pt>
                <c:pt idx="18">
                  <c:v>9.0681185215433882</c:v>
                </c:pt>
                <c:pt idx="19">
                  <c:v>9.0681185215433882</c:v>
                </c:pt>
                <c:pt idx="20">
                  <c:v>9.2573879121208229</c:v>
                </c:pt>
                <c:pt idx="21">
                  <c:v>9.1451476835793599</c:v>
                </c:pt>
                <c:pt idx="22">
                  <c:v>10.073043576545054</c:v>
                </c:pt>
                <c:pt idx="23">
                  <c:v>10.224917081260365</c:v>
                </c:pt>
                <c:pt idx="24">
                  <c:v>8.3882050204058967</c:v>
                </c:pt>
                <c:pt idx="25">
                  <c:v>7.6881926606969104</c:v>
                </c:pt>
                <c:pt idx="26">
                  <c:v>5.7909476366148622</c:v>
                </c:pt>
                <c:pt idx="27">
                  <c:v>6.0348380200984097</c:v>
                </c:pt>
                <c:pt idx="28">
                  <c:v>5.8230978604220187</c:v>
                </c:pt>
                <c:pt idx="29">
                  <c:v>7.0815254571741617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4-4A68-A961-EF12CF3A55EF}"/>
            </c:ext>
          </c:extLst>
        </c:ser>
        <c:ser>
          <c:idx val="0"/>
          <c:order val="3"/>
          <c:tx>
            <c:strRef>
              <c:f>'Daten Jahre Kalktypen'!$J$3</c:f>
              <c:strCache>
                <c:ptCount val="1"/>
                <c:pt idx="0">
                  <c:v>Brannt-Kalk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'Daten Jahre Kalktypen'!$A$5:$A$34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'Daten Jahre Kalktypen'!$J$5:$J$34</c:f>
              <c:numCache>
                <c:formatCode>0.0</c:formatCode>
                <c:ptCount val="30"/>
                <c:pt idx="0">
                  <c:v>13.627388386355252</c:v>
                </c:pt>
                <c:pt idx="1">
                  <c:v>11.417091374886605</c:v>
                </c:pt>
                <c:pt idx="2">
                  <c:v>10.016133473330473</c:v>
                </c:pt>
                <c:pt idx="3">
                  <c:v>8.3531679626953146</c:v>
                </c:pt>
                <c:pt idx="4">
                  <c:v>7.5447282808369289</c:v>
                </c:pt>
                <c:pt idx="5">
                  <c:v>7.0995798620763866</c:v>
                </c:pt>
                <c:pt idx="6">
                  <c:v>6.0423381754106646</c:v>
                </c:pt>
                <c:pt idx="7">
                  <c:v>6.8628920394500064</c:v>
                </c:pt>
                <c:pt idx="8">
                  <c:v>5.7879447713672132</c:v>
                </c:pt>
                <c:pt idx="9">
                  <c:v>5.6410174496215486</c:v>
                </c:pt>
                <c:pt idx="10">
                  <c:v>5.5523025023013153</c:v>
                </c:pt>
                <c:pt idx="11">
                  <c:v>4.9997740358901206</c:v>
                </c:pt>
                <c:pt idx="12">
                  <c:v>5.5714975094058055</c:v>
                </c:pt>
                <c:pt idx="13">
                  <c:v>4.7724654668222142</c:v>
                </c:pt>
                <c:pt idx="14">
                  <c:v>4.6559625755683669</c:v>
                </c:pt>
                <c:pt idx="15">
                  <c:v>4.2973611873226725</c:v>
                </c:pt>
                <c:pt idx="16">
                  <c:v>3.4898289983790791</c:v>
                </c:pt>
                <c:pt idx="17">
                  <c:v>4.0372399667216534</c:v>
                </c:pt>
                <c:pt idx="18">
                  <c:v>4.0372399667216534</c:v>
                </c:pt>
                <c:pt idx="19">
                  <c:v>4.0372399667216534</c:v>
                </c:pt>
                <c:pt idx="20">
                  <c:v>3.8216969712192892</c:v>
                </c:pt>
                <c:pt idx="21">
                  <c:v>2.8488915328977438</c:v>
                </c:pt>
                <c:pt idx="22">
                  <c:v>2.9226064610520597</c:v>
                </c:pt>
                <c:pt idx="23">
                  <c:v>3.1320388109205219</c:v>
                </c:pt>
                <c:pt idx="24">
                  <c:v>2.9467007315732827</c:v>
                </c:pt>
                <c:pt idx="25">
                  <c:v>3.1678489981582874</c:v>
                </c:pt>
                <c:pt idx="26">
                  <c:v>3.2890017646099077</c:v>
                </c:pt>
                <c:pt idx="27">
                  <c:v>3.1356984859935841</c:v>
                </c:pt>
                <c:pt idx="28">
                  <c:v>2.7877953502084827</c:v>
                </c:pt>
                <c:pt idx="29">
                  <c:v>2.9119635013125738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64-4A68-A961-EF12CF3A5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56384"/>
        <c:axId val="198657920"/>
      </c:lineChart>
      <c:catAx>
        <c:axId val="1986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657920"/>
        <c:crosses val="autoZero"/>
        <c:auto val="1"/>
        <c:lblAlgn val="ctr"/>
        <c:lblOffset val="100"/>
        <c:noMultiLvlLbl val="0"/>
      </c:catAx>
      <c:valAx>
        <c:axId val="198657920"/>
        <c:scaling>
          <c:orientation val="minMax"/>
          <c:max val="100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656384"/>
        <c:crosses val="autoZero"/>
        <c:crossBetween val="between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63468747414993698"/>
          <c:y val="0.41606649553464919"/>
          <c:w val="0.16881181627423694"/>
          <c:h val="0.24963756969776202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9402426652367"/>
          <c:y val="0.26294974070389332"/>
          <c:w val="0.75473469749788236"/>
          <c:h val="0.52925239978805472"/>
        </c:manualLayout>
      </c:layout>
      <c:lineChart>
        <c:grouping val="standard"/>
        <c:varyColors val="0"/>
        <c:ser>
          <c:idx val="0"/>
          <c:order val="0"/>
          <c:tx>
            <c:v>Kalkdünger Absatz 2004 - 2019</c:v>
          </c:tx>
          <c:spPr>
            <a:ln w="50800"/>
          </c:spPr>
          <c:trendline>
            <c:spPr>
              <a:ln w="317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'Daten Jahre Kalktypen'!$A$23:$A$34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'Daten Jahre Kalktypen'!$B$23:$B$34</c:f>
              <c:numCache>
                <c:formatCode>#,##0</c:formatCode>
                <c:ptCount val="12"/>
                <c:pt idx="0">
                  <c:v>2447888</c:v>
                </c:pt>
                <c:pt idx="1">
                  <c:v>2447889</c:v>
                </c:pt>
                <c:pt idx="2">
                  <c:v>2070206</c:v>
                </c:pt>
                <c:pt idx="3">
                  <c:v>2380224</c:v>
                </c:pt>
                <c:pt idx="4">
                  <c:v>2548068</c:v>
                </c:pt>
                <c:pt idx="5">
                  <c:v>2585664</c:v>
                </c:pt>
                <c:pt idx="6">
                  <c:v>2935181</c:v>
                </c:pt>
                <c:pt idx="7">
                  <c:v>2693689</c:v>
                </c:pt>
                <c:pt idx="8">
                  <c:v>2457767</c:v>
                </c:pt>
                <c:pt idx="9">
                  <c:v>2746884</c:v>
                </c:pt>
                <c:pt idx="10">
                  <c:v>3039104</c:v>
                </c:pt>
                <c:pt idx="11">
                  <c:v>2600062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C-4E99-A650-CB6C25744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96960"/>
        <c:axId val="198698496"/>
      </c:lineChart>
      <c:catAx>
        <c:axId val="1986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698496"/>
        <c:crosses val="autoZero"/>
        <c:auto val="1"/>
        <c:lblAlgn val="ctr"/>
        <c:lblOffset val="100"/>
        <c:noMultiLvlLbl val="0"/>
      </c:catAx>
      <c:valAx>
        <c:axId val="198698496"/>
        <c:scaling>
          <c:orientation val="minMax"/>
          <c:max val="3200000"/>
          <c:min val="18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869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64372768911906"/>
          <c:y val="0.26259582056059788"/>
          <c:w val="0.41515881819072586"/>
          <c:h val="0.180206226301062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6" workbookViewId="0" zoomToFit="1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76" workbookViewId="0" zoomToFit="1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462915</xdr:colOff>
      <xdr:row>6</xdr:row>
      <xdr:rowOff>0</xdr:rowOff>
    </xdr:from>
    <xdr:to>
      <xdr:col>6</xdr:col>
      <xdr:colOff>57222</xdr:colOff>
      <xdr:row>6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257675" y="1133475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 m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0.04096</cdr:x>
      <cdr:y>0.15026</cdr:y>
    </cdr:from>
    <cdr:to>
      <cdr:x>0.15741</cdr:x>
      <cdr:y>0.21353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0816" y="774656"/>
          <a:ext cx="1082566" cy="326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 b="1"/>
            <a:t>%</a:t>
          </a:r>
          <a:r>
            <a:rPr lang="de-DE" sz="1800" b="1" baseline="0"/>
            <a:t> Anteil</a:t>
          </a:r>
          <a:endParaRPr lang="de-DE" sz="1800" b="1"/>
        </a:p>
      </cdr:txBody>
    </cdr:sp>
  </cdr:relSizeAnchor>
  <cdr:relSizeAnchor xmlns:cdr="http://schemas.openxmlformats.org/drawingml/2006/chartDrawing">
    <cdr:from>
      <cdr:x>0.04775</cdr:x>
      <cdr:y>0.95123</cdr:y>
    </cdr:from>
    <cdr:to>
      <cdr:x>0.04083</cdr:x>
      <cdr:y>0.95148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69900" y="4724400"/>
          <a:ext cx="21717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 baseline="0">
              <a:effectLst/>
              <a:latin typeface="+mn-lt"/>
              <a:ea typeface="+mn-ea"/>
              <a:cs typeface="+mn-cs"/>
            </a:rPr>
            <a:t>Quellen: Statist. Bundesamt, DHG</a:t>
          </a:r>
          <a:endParaRPr lang="de-DE">
            <a:effectLst/>
          </a:endParaRP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0.16979</cdr:x>
      <cdr:y>0.03589</cdr:y>
    </cdr:from>
    <cdr:to>
      <cdr:x>0.8993</cdr:x>
      <cdr:y>0.17452</cdr:y>
    </cdr:to>
    <cdr:sp macro="" textlink="">
      <cdr:nvSpPr>
        <cdr:cNvPr id="5" name="Titel 2"/>
        <cdr:cNvSpPr>
          <a:spLocks xmlns:a="http://schemas.openxmlformats.org/drawingml/2006/main" noGrp="1"/>
        </cdr:cNvSpPr>
      </cdr:nvSpPr>
      <cdr:spPr>
        <a:xfrm xmlns:a="http://schemas.openxmlformats.org/drawingml/2006/main">
          <a:off x="1578393" y="185053"/>
          <a:ext cx="6781816" cy="7147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anchor="b" anchorCtr="0">
          <a:spAutoFit/>
        </a:bodyPr>
        <a:lstStyle xmlns:a="http://schemas.openxmlformats.org/drawingml/2006/main">
          <a:lvl1pPr marL="0" algn="l" defTabSz="1040850" rtl="0" eaLnBrk="1" latinLnBrk="0" hangingPunct="1">
            <a:spcBef>
              <a:spcPct val="0"/>
            </a:spcBef>
            <a:buNone/>
            <a:defRPr sz="2900" b="1" i="0" kern="1200" cap="all">
              <a:solidFill>
                <a:srgbClr val="005E30"/>
              </a:solidFill>
              <a:latin typeface="Trebuchet MS"/>
              <a:ea typeface="+mj-ea"/>
              <a:cs typeface="Trebuchet MS"/>
            </a:defRPr>
          </a:lvl1pPr>
        </a:lstStyle>
        <a:p xmlns:a="http://schemas.openxmlformats.org/drawingml/2006/main">
          <a:r>
            <a:rPr lang="de-DE" altLang="de-DE" sz="2400" cap="none" dirty="0">
              <a:latin typeface="Trebuchet MS" panose="020B0603020202020204" pitchFamily="34" charset="0"/>
              <a:cs typeface="Arial" pitchFamily="34" charset="0"/>
            </a:rPr>
            <a:t>Marktanteile Düngekalktypen</a:t>
          </a:r>
          <a:r>
            <a:rPr lang="de-DE" altLang="de-DE" sz="2400" cap="none" baseline="0" dirty="0">
              <a:latin typeface="Trebuchet MS" panose="020B0603020202020204" pitchFamily="34" charset="0"/>
              <a:cs typeface="Arial" pitchFamily="34" charset="0"/>
            </a:rPr>
            <a:t> in</a:t>
          </a:r>
          <a:r>
            <a:rPr lang="de-DE" altLang="de-DE" sz="2400" cap="none" dirty="0">
              <a:latin typeface="Trebuchet MS" panose="020B0603020202020204" pitchFamily="34" charset="0"/>
              <a:cs typeface="Arial" pitchFamily="34" charset="0"/>
            </a:rPr>
            <a:t> Deutschland, </a:t>
          </a:r>
          <a:br>
            <a:rPr lang="de-DE" altLang="de-DE" sz="2400" cap="none" dirty="0">
              <a:latin typeface="Trebuchet MS" panose="020B0603020202020204" pitchFamily="34" charset="0"/>
              <a:cs typeface="Arial" pitchFamily="34" charset="0"/>
            </a:rPr>
          </a:br>
          <a:r>
            <a:rPr lang="de-DE" altLang="de-DE" sz="2400" cap="none" dirty="0">
              <a:latin typeface="Trebuchet MS" panose="020B0603020202020204" pitchFamily="34" charset="0"/>
              <a:cs typeface="Arial" pitchFamily="34" charset="0"/>
            </a:rPr>
            <a:t>1990 - 2019 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0.05005</cdr:x>
      <cdr:y>0.15153</cdr:y>
    </cdr:from>
    <cdr:to>
      <cdr:x>0.17088</cdr:x>
      <cdr:y>0.23753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7241" y="610836"/>
          <a:ext cx="905399" cy="3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 b="1"/>
            <a:t>t  CaO</a:t>
          </a:r>
        </a:p>
      </cdr:txBody>
    </cdr:sp>
  </cdr:relSizeAnchor>
  <cdr:relSizeAnchor xmlns:cdr="http://schemas.openxmlformats.org/drawingml/2006/chartDrawing">
    <cdr:from>
      <cdr:x>0.18911</cdr:x>
      <cdr:y>0.04953</cdr:y>
    </cdr:from>
    <cdr:to>
      <cdr:x>0.90208</cdr:x>
      <cdr:y>0.13526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601911" y="254064"/>
          <a:ext cx="6130211" cy="443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400" b="1"/>
            <a:t>Düngekalk-A</a:t>
          </a:r>
          <a:r>
            <a:rPr lang="de-DE" sz="2400" b="1" baseline="0"/>
            <a:t>bsatz in Deutschland, 2008 - 2019</a:t>
          </a:r>
        </a:p>
      </cdr:txBody>
    </cdr:sp>
  </cdr:relSizeAnchor>
  <cdr:relSizeAnchor xmlns:cdr="http://schemas.openxmlformats.org/drawingml/2006/chartDrawing">
    <cdr:from>
      <cdr:x>0.02856</cdr:x>
      <cdr:y>0.93287</cdr:y>
    </cdr:from>
    <cdr:to>
      <cdr:x>0.28658</cdr:x>
      <cdr:y>0.99086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41300" y="4663621"/>
          <a:ext cx="2157816" cy="283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 baseline="0">
              <a:effectLst/>
              <a:latin typeface="+mn-lt"/>
              <a:ea typeface="+mn-ea"/>
              <a:cs typeface="+mn-cs"/>
            </a:rPr>
            <a:t>Quellen: Statist. Bundesamt, DHG</a:t>
          </a:r>
          <a:endParaRPr lang="de-DE">
            <a:effectLst/>
          </a:endParaRPr>
        </a:p>
        <a:p xmlns:a="http://schemas.openxmlformats.org/drawingml/2006/main">
          <a:pPr>
            <a:lnSpc>
              <a:spcPts val="1100"/>
            </a:lnSpc>
          </a:pPr>
          <a:endParaRPr lang="de-DE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2871906" cy="141446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0.92676</cdr:x>
      <cdr:y>0.84943</cdr:y>
    </cdr:from>
    <cdr:to>
      <cdr:x>0.98018</cdr:x>
      <cdr:y>0.97651</cdr:y>
    </cdr:to>
    <cdr:pic>
      <cdr:nvPicPr>
        <cdr:cNvPr id="3073" name="Picture 1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8FEDC155-7222-45EF-B8A1-3EA745BD2C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48045" y="4826000"/>
          <a:ext cx="479653" cy="69698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0.15618</cdr:x>
      <cdr:y>0.40456</cdr:y>
    </cdr:from>
    <cdr:to>
      <cdr:x>0.94648</cdr:x>
      <cdr:y>0.40456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128BEBA5-4C32-4E98-B9AD-A00432A28970}"/>
            </a:ext>
          </a:extLst>
        </cdr:cNvPr>
        <cdr:cNvCxnSpPr/>
      </cdr:nvCxnSpPr>
      <cdr:spPr bwMode="auto">
        <a:xfrm xmlns:a="http://schemas.openxmlformats.org/drawingml/2006/main">
          <a:off x="1423602" y="2269685"/>
          <a:ext cx="7203920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0.04628</cdr:x>
      <cdr:y>0.92035</cdr:y>
    </cdr:from>
    <cdr:to>
      <cdr:x>0.34549</cdr:x>
      <cdr:y>0.96629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19100" y="5207000"/>
          <a:ext cx="27178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Statist. Bundesamt, DHG</a:t>
          </a:r>
          <a:endParaRPr lang="de-DE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200" b="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2860000" cy="1413710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0.92676</cdr:x>
      <cdr:y>0.84943</cdr:y>
    </cdr:from>
    <cdr:to>
      <cdr:x>0.98018</cdr:x>
      <cdr:y>0.97651</cdr:y>
    </cdr:to>
    <cdr:pic>
      <cdr:nvPicPr>
        <cdr:cNvPr id="3073" name="Picture 1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0899D946-010B-43F4-B554-5D71A982FED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48045" y="4826000"/>
          <a:ext cx="479653" cy="69698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0.15045</cdr:x>
      <cdr:y>0.55847</cdr:y>
    </cdr:from>
    <cdr:to>
      <cdr:x>0.94</cdr:x>
      <cdr:y>0.55847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54BD7B38-872C-4522-B2A5-AAE8991A5279}"/>
            </a:ext>
          </a:extLst>
        </cdr:cNvPr>
        <cdr:cNvCxnSpPr/>
      </cdr:nvCxnSpPr>
      <cdr:spPr bwMode="auto">
        <a:xfrm xmlns:a="http://schemas.openxmlformats.org/drawingml/2006/main">
          <a:off x="1371373" y="3133115"/>
          <a:ext cx="7197084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0.04628</cdr:x>
      <cdr:y>0.92035</cdr:y>
    </cdr:from>
    <cdr:to>
      <cdr:x>0.34499</cdr:x>
      <cdr:y>0.96604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19100" y="5207000"/>
          <a:ext cx="27178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Statist. Bundesamt, DHG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2873607" cy="1413782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0.05754</cdr:x>
      <cdr:y>0.92343</cdr:y>
    </cdr:from>
    <cdr:to>
      <cdr:x>0.361</cdr:x>
      <cdr:y>0.97122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8000" y="5232400"/>
          <a:ext cx="27178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Statist. Bundesamt, DHG</a:t>
          </a:r>
          <a:endParaRPr lang="de-DE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200" b="0"/>
        </a:p>
      </cdr:txBody>
    </cdr:sp>
  </cdr:relSizeAnchor>
  <cdr:relSizeAnchor xmlns:cdr="http://schemas.openxmlformats.org/drawingml/2006/chartDrawing">
    <cdr:from>
      <cdr:x>0.93805</cdr:x>
      <cdr:y>0.84961</cdr:y>
    </cdr:from>
    <cdr:to>
      <cdr:x>0.98698</cdr:x>
      <cdr:y>0.98121</cdr:y>
    </cdr:to>
    <cdr:pic>
      <cdr:nvPicPr>
        <cdr:cNvPr id="3" name="Picture 1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9F013E77-4184-422C-ACE6-926963667F9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96300" y="4838700"/>
          <a:ext cx="479653" cy="69698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2860000" cy="1413710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0.94182</cdr:x>
      <cdr:y>0.84487</cdr:y>
    </cdr:from>
    <cdr:to>
      <cdr:x>0.99525</cdr:x>
      <cdr:y>0.98025</cdr:y>
    </cdr:to>
    <cdr:pic>
      <cdr:nvPicPr>
        <cdr:cNvPr id="5121" name="Picture 1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F2A17132-3AF3-4A5B-BAE3-B68FEF485E8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85200" y="4792235"/>
          <a:ext cx="477447" cy="7352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0.04538</cdr:x>
      <cdr:y>0.92318</cdr:y>
    </cdr:from>
    <cdr:to>
      <cdr:x>0.34585</cdr:x>
      <cdr:y>0.96972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06400" y="5219700"/>
          <a:ext cx="27178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Statist. Bundesamt, DHG</a:t>
          </a:r>
          <a:endParaRPr lang="de-DE" sz="28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2800" b="0"/>
        </a:p>
      </cdr:txBody>
    </cdr:sp>
  </cdr:relSizeAnchor>
  <cdr:relSizeAnchor xmlns:cdr="http://schemas.openxmlformats.org/drawingml/2006/chartDrawing">
    <cdr:from>
      <cdr:x>0.14168</cdr:x>
      <cdr:y>0.26643</cdr:y>
    </cdr:from>
    <cdr:to>
      <cdr:x>0.93398</cdr:x>
      <cdr:y>0.26643</cdr:y>
    </cdr:to>
    <cdr:cxnSp macro="">
      <cdr:nvCxnSpPr>
        <cdr:cNvPr id="8" name="Gerade Verbindung 7">
          <a:extLst xmlns:a="http://schemas.openxmlformats.org/drawingml/2006/main">
            <a:ext uri="{FF2B5EF4-FFF2-40B4-BE49-F238E27FC236}">
              <a16:creationId xmlns:a16="http://schemas.microsoft.com/office/drawing/2014/main" id="{C8052093-45DE-412B-9509-143457BEF0AF}"/>
            </a:ext>
          </a:extLst>
        </cdr:cNvPr>
        <cdr:cNvCxnSpPr/>
      </cdr:nvCxnSpPr>
      <cdr:spPr bwMode="auto">
        <a:xfrm xmlns:a="http://schemas.openxmlformats.org/drawingml/2006/main">
          <a:off x="1294129" y="1486845"/>
          <a:ext cx="7223543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67795</xdr:colOff>
      <xdr:row>157</xdr:row>
      <xdr:rowOff>146237</xdr:rowOff>
    </xdr:from>
    <xdr:to>
      <xdr:col>33</xdr:col>
      <xdr:colOff>354666</xdr:colOff>
      <xdr:row>175</xdr:row>
      <xdr:rowOff>131670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548248</xdr:colOff>
      <xdr:row>181</xdr:row>
      <xdr:rowOff>74526</xdr:rowOff>
    </xdr:from>
    <xdr:to>
      <xdr:col>18</xdr:col>
      <xdr:colOff>467005</xdr:colOff>
      <xdr:row>200</xdr:row>
      <xdr:rowOff>140359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675155</xdr:colOff>
      <xdr:row>181</xdr:row>
      <xdr:rowOff>134471</xdr:rowOff>
    </xdr:from>
    <xdr:to>
      <xdr:col>25</xdr:col>
      <xdr:colOff>474850</xdr:colOff>
      <xdr:row>201</xdr:row>
      <xdr:rowOff>154416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2873607" cy="1413782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0.92219</cdr:x>
      <cdr:y>0.85749</cdr:y>
    </cdr:from>
    <cdr:to>
      <cdr:x>0.96499</cdr:x>
      <cdr:y>0.95804</cdr:y>
    </cdr:to>
    <cdr:pic>
      <cdr:nvPicPr>
        <cdr:cNvPr id="4098" name="Picture 2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C74898EE-E0B4-4F1F-9A2A-2C9E54B4007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367754" y="4868712"/>
          <a:ext cx="407946" cy="55415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0.14127</cdr:x>
      <cdr:y>0.39117</cdr:y>
    </cdr:from>
    <cdr:to>
      <cdr:x>0.89334</cdr:x>
      <cdr:y>0.39209</cdr:y>
    </cdr:to>
    <cdr:sp macro="" textlink="">
      <cdr:nvSpPr>
        <cdr:cNvPr id="410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93140" y="2213204"/>
          <a:ext cx="6884091" cy="52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0.01498</cdr:x>
      <cdr:y>0.9443</cdr:y>
    </cdr:from>
    <cdr:to>
      <cdr:x>0.26027</cdr:x>
      <cdr:y>0.991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7160" y="5342691"/>
          <a:ext cx="2245268" cy="264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Statistisches Bundesamt, DHG</a:t>
          </a:r>
          <a:endParaRPr lang="de-DE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0.9148</cdr:x>
      <cdr:y>0.33044</cdr:y>
    </cdr:from>
    <cdr:to>
      <cdr:x>0.973</cdr:x>
      <cdr:y>0.76689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56193" y="1863296"/>
          <a:ext cx="531626" cy="2461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>
              <a:latin typeface="Arial" pitchFamily="34" charset="0"/>
              <a:cs typeface="Arial" pitchFamily="34" charset="0"/>
            </a:rPr>
            <a:t>15</a:t>
          </a:r>
          <a:br>
            <a:rPr lang="de-DE" sz="1600" b="1">
              <a:latin typeface="Arial" pitchFamily="34" charset="0"/>
              <a:cs typeface="Arial" pitchFamily="34" charset="0"/>
            </a:rPr>
          </a:br>
          <a:br>
            <a:rPr lang="de-DE" sz="1600" b="1">
              <a:latin typeface="Arial" pitchFamily="34" charset="0"/>
              <a:cs typeface="Arial" pitchFamily="34" charset="0"/>
            </a:rPr>
          </a:br>
          <a:r>
            <a:rPr lang="de-DE" sz="1600" b="1">
              <a:latin typeface="Arial" pitchFamily="34" charset="0"/>
              <a:cs typeface="Arial" pitchFamily="34" charset="0"/>
            </a:rPr>
            <a:t>45</a:t>
          </a:r>
          <a:br>
            <a:rPr lang="de-DE" sz="1600" b="1">
              <a:latin typeface="Arial" pitchFamily="34" charset="0"/>
              <a:cs typeface="Arial" pitchFamily="34" charset="0"/>
            </a:rPr>
          </a:br>
          <a:endParaRPr lang="de-DE" sz="1600" b="1">
            <a:latin typeface="Arial" pitchFamily="34" charset="0"/>
            <a:cs typeface="Arial" pitchFamily="34" charset="0"/>
          </a:endParaRPr>
        </a:p>
        <a:p xmlns:a="http://schemas.openxmlformats.org/drawingml/2006/main">
          <a:br>
            <a:rPr lang="de-DE" sz="1600" b="1">
              <a:latin typeface="Arial" pitchFamily="34" charset="0"/>
              <a:cs typeface="Arial" pitchFamily="34" charset="0"/>
            </a:rPr>
          </a:br>
          <a:br>
            <a:rPr lang="de-DE" sz="1600" b="1">
              <a:latin typeface="Arial" pitchFamily="34" charset="0"/>
              <a:cs typeface="Arial" pitchFamily="34" charset="0"/>
            </a:rPr>
          </a:br>
          <a:r>
            <a:rPr lang="de-DE" sz="1600" b="1">
              <a:latin typeface="Arial" pitchFamily="34" charset="0"/>
              <a:cs typeface="Arial" pitchFamily="34" charset="0"/>
            </a:rPr>
            <a:t>25</a:t>
          </a:r>
          <a:br>
            <a:rPr lang="de-DE" sz="1600" b="1">
              <a:latin typeface="Arial" pitchFamily="34" charset="0"/>
              <a:cs typeface="Arial" pitchFamily="34" charset="0"/>
            </a:rPr>
          </a:br>
          <a:br>
            <a:rPr lang="de-DE" sz="1600" b="1">
              <a:latin typeface="Arial" pitchFamily="34" charset="0"/>
              <a:cs typeface="Arial" pitchFamily="34" charset="0"/>
            </a:rPr>
          </a:br>
          <a:r>
            <a:rPr lang="de-DE" sz="1600" b="1">
              <a:latin typeface="Arial" pitchFamily="34" charset="0"/>
              <a:cs typeface="Arial" pitchFamily="34" charset="0"/>
            </a:rPr>
            <a:t>15</a:t>
          </a:r>
        </a:p>
        <a:p xmlns:a="http://schemas.openxmlformats.org/drawingml/2006/main">
          <a:endParaRPr lang="de-DE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0.91048</cdr:x>
      <cdr:y>0.15676</cdr:y>
    </cdr:from>
    <cdr:to>
      <cdr:x>0.98781</cdr:x>
      <cdr:y>0.3064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34101" y="886925"/>
          <a:ext cx="707843" cy="84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/>
            <a:t>%</a:t>
          </a:r>
          <a:br>
            <a:rPr lang="de-DE" sz="1600" b="1"/>
          </a:br>
          <a:r>
            <a:rPr lang="de-DE" sz="1600" b="1"/>
            <a:t>Anteil</a:t>
          </a:r>
        </a:p>
        <a:p xmlns:a="http://schemas.openxmlformats.org/drawingml/2006/main">
          <a:r>
            <a:rPr lang="de-DE" sz="1600" b="1"/>
            <a:t>in</a:t>
          </a:r>
          <a:r>
            <a:rPr lang="de-DE" sz="1600" b="1" baseline="0"/>
            <a:t> 2020</a:t>
          </a:r>
          <a:endParaRPr lang="de-DE" sz="1600" b="1"/>
        </a:p>
      </cdr:txBody>
    </cdr:sp>
  </cdr:relSizeAnchor>
  <cdr:relSizeAnchor xmlns:cdr="http://schemas.openxmlformats.org/drawingml/2006/chartDrawing">
    <cdr:from>
      <cdr:x>0.20063</cdr:x>
      <cdr:y>0.03056</cdr:y>
    </cdr:from>
    <cdr:to>
      <cdr:x>0.78997</cdr:x>
      <cdr:y>0.19355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1828800" y="171450"/>
          <a:ext cx="53720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r>
            <a:rPr lang="de-DE" sz="3200" b="1" i="0" u="none" strike="noStrike" baseline="0">
              <a:solidFill>
                <a:srgbClr val="000000"/>
              </a:solidFill>
              <a:latin typeface="Trebuchet MS"/>
            </a:rPr>
            <a:t>Düngekalkabsatz in Deutschland</a:t>
          </a:r>
          <a:endParaRPr lang="de-DE" sz="3200" b="0" i="0" u="none" strike="noStrike" baseline="0">
            <a:solidFill>
              <a:srgbClr val="000000"/>
            </a:solidFill>
            <a:latin typeface="Trebuchet MS"/>
          </a:endParaRPr>
        </a:p>
        <a:p xmlns:a="http://schemas.openxmlformats.org/drawingml/2006/main">
          <a:pPr algn="ctr" rtl="0">
            <a:defRPr sz="1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r>
            <a:rPr lang="de-DE" sz="3200" b="1" i="0" u="none" strike="noStrike" baseline="0">
              <a:solidFill>
                <a:srgbClr val="000000"/>
              </a:solidFill>
              <a:latin typeface="Trebuchet MS"/>
            </a:rPr>
            <a:t>Entwicklung der </a:t>
          </a:r>
          <a:r>
            <a:rPr lang="de-DE" sz="3200" b="1" i="0" u="none" strike="noStrike" baseline="0">
              <a:solidFill>
                <a:srgbClr val="FF0000"/>
              </a:solidFill>
              <a:latin typeface="Trebuchet MS"/>
            </a:rPr>
            <a:t>Quartale</a:t>
          </a:r>
          <a:r>
            <a:rPr lang="de-DE" sz="3200" b="1" i="0" u="none" strike="noStrike" baseline="0">
              <a:solidFill>
                <a:srgbClr val="000000"/>
              </a:solidFill>
              <a:latin typeface="Trebuchet MS"/>
            </a:rPr>
            <a:t>, 2009 - 2020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2871906" cy="141446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0.94343</cdr:x>
      <cdr:y>0.90838</cdr:y>
    </cdr:from>
    <cdr:to>
      <cdr:x>0.98068</cdr:x>
      <cdr:y>0.98363</cdr:y>
    </cdr:to>
    <cdr:pic>
      <cdr:nvPicPr>
        <cdr:cNvPr id="3073" name="Picture 1" descr="Keimling und Schriftzug grün">
          <a:extLst xmlns:a="http://schemas.openxmlformats.org/drawingml/2006/main">
            <a:ext uri="{FF2B5EF4-FFF2-40B4-BE49-F238E27FC236}">
              <a16:creationId xmlns:a16="http://schemas.microsoft.com/office/drawing/2014/main" id="{F5E04376-C219-4513-9E20-45E67AE1307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19871" y="5123831"/>
          <a:ext cx="345186" cy="42951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0.02271</cdr:x>
      <cdr:y>0.94362</cdr:y>
    </cdr:from>
    <cdr:to>
      <cdr:x>0.265</cdr:x>
      <cdr:y>0.98782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19800" y="13347214"/>
          <a:ext cx="5544518" cy="62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Statistisches Bundesamt, DHG</a:t>
          </a:r>
          <a:endParaRPr lang="de-DE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0.92576</cdr:x>
      <cdr:y>0.33956</cdr:y>
    </cdr:from>
    <cdr:to>
      <cdr:x>0.97132</cdr:x>
      <cdr:y>0.69003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438691" y="1905000"/>
          <a:ext cx="415299" cy="1966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400" b="1">
              <a:latin typeface="Arial" pitchFamily="34" charset="0"/>
              <a:cs typeface="Arial" pitchFamily="34" charset="0"/>
            </a:rPr>
            <a:t>13</a:t>
          </a:r>
          <a:br>
            <a:rPr lang="de-DE" sz="1400" b="1">
              <a:latin typeface="Arial" pitchFamily="34" charset="0"/>
              <a:cs typeface="Arial" pitchFamily="34" charset="0"/>
            </a:rPr>
          </a:br>
          <a:r>
            <a:rPr lang="de-DE" sz="1400" b="1">
              <a:latin typeface="Arial" pitchFamily="34" charset="0"/>
              <a:cs typeface="Arial" pitchFamily="34" charset="0"/>
            </a:rPr>
            <a:t>6</a:t>
          </a:r>
          <a:br>
            <a:rPr lang="de-DE" sz="1400" b="1">
              <a:latin typeface="Arial" pitchFamily="34" charset="0"/>
              <a:cs typeface="Arial" pitchFamily="34" charset="0"/>
            </a:rPr>
          </a:br>
          <a:r>
            <a:rPr lang="de-DE" sz="1400" b="1">
              <a:latin typeface="Arial" pitchFamily="34" charset="0"/>
              <a:cs typeface="Arial" pitchFamily="34" charset="0"/>
            </a:rPr>
            <a:t>3</a:t>
          </a:r>
        </a:p>
        <a:p xmlns:a="http://schemas.openxmlformats.org/drawingml/2006/main">
          <a:r>
            <a:rPr lang="de-DE" sz="1400" b="1">
              <a:latin typeface="Arial" pitchFamily="34" charset="0"/>
              <a:cs typeface="Arial" pitchFamily="34" charset="0"/>
            </a:rPr>
            <a:t>     </a:t>
          </a:r>
          <a:br>
            <a:rPr lang="de-DE" sz="1400" b="1">
              <a:latin typeface="Arial" pitchFamily="34" charset="0"/>
              <a:cs typeface="Arial" pitchFamily="34" charset="0"/>
            </a:rPr>
          </a:br>
          <a:br>
            <a:rPr lang="de-DE" sz="1400" b="1">
              <a:latin typeface="Arial" pitchFamily="34" charset="0"/>
              <a:cs typeface="Arial" pitchFamily="34" charset="0"/>
            </a:rPr>
          </a:br>
          <a:r>
            <a:rPr lang="de-DE" sz="1400" b="1">
              <a:latin typeface="Arial" pitchFamily="34" charset="0"/>
              <a:cs typeface="Arial" pitchFamily="34" charset="0"/>
            </a:rPr>
            <a:t> 79</a:t>
          </a:r>
        </a:p>
      </cdr:txBody>
    </cdr:sp>
  </cdr:relSizeAnchor>
  <cdr:relSizeAnchor xmlns:cdr="http://schemas.openxmlformats.org/drawingml/2006/chartDrawing">
    <cdr:from>
      <cdr:x>0.14469</cdr:x>
      <cdr:y>0.35268</cdr:y>
    </cdr:from>
    <cdr:to>
      <cdr:x>0.91328</cdr:x>
      <cdr:y>0.35268</cdr:y>
    </cdr:to>
    <cdr:sp macro="" textlink="">
      <cdr:nvSpPr>
        <cdr:cNvPr id="6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24220" y="1995985"/>
          <a:ext cx="70340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0.91467</cdr:x>
      <cdr:y>0.17092</cdr:y>
    </cdr:from>
    <cdr:to>
      <cdr:x>0.97602</cdr:x>
      <cdr:y>0.31836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71004" y="967285"/>
          <a:ext cx="561471" cy="83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400" b="1"/>
            <a:t>     %</a:t>
          </a:r>
          <a:br>
            <a:rPr lang="de-DE" sz="1400" b="1"/>
          </a:br>
          <a:r>
            <a:rPr lang="de-DE" sz="1400" b="1"/>
            <a:t>Anteile</a:t>
          </a:r>
          <a:br>
            <a:rPr lang="de-DE" sz="1400" b="1"/>
          </a:br>
          <a:r>
            <a:rPr lang="de-DE" sz="1400" b="1"/>
            <a:t>in 2020</a:t>
          </a:r>
        </a:p>
      </cdr:txBody>
    </cdr:sp>
  </cdr:relSizeAnchor>
  <cdr:relSizeAnchor xmlns:cdr="http://schemas.openxmlformats.org/drawingml/2006/chartDrawing">
    <cdr:from>
      <cdr:x>0.26223</cdr:x>
      <cdr:y>0.04209</cdr:y>
    </cdr:from>
    <cdr:to>
      <cdr:x>0.75234</cdr:x>
      <cdr:y>0.18519</cdr:y>
    </cdr:to>
    <cdr:sp macro="" textlink="">
      <cdr:nvSpPr>
        <cdr:cNvPr id="16" name="Textfeld 15">
          <a:extLst xmlns:a="http://schemas.openxmlformats.org/drawingml/2006/main">
            <a:ext uri="{FF2B5EF4-FFF2-40B4-BE49-F238E27FC236}">
              <a16:creationId xmlns:a16="http://schemas.microsoft.com/office/drawing/2014/main" id="{A1314DBB-2706-4C47-9601-FA1B251C683A}"/>
            </a:ext>
          </a:extLst>
        </cdr:cNvPr>
        <cdr:cNvSpPr txBox="1"/>
      </cdr:nvSpPr>
      <cdr:spPr>
        <a:xfrm xmlns:a="http://schemas.openxmlformats.org/drawingml/2006/main">
          <a:off x="6000749" y="595311"/>
          <a:ext cx="11215687" cy="2024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DE" sz="2800" b="1" i="0" baseline="0">
              <a:effectLst/>
              <a:latin typeface="+mn-lt"/>
              <a:ea typeface="+mn-ea"/>
              <a:cs typeface="+mn-cs"/>
            </a:rPr>
            <a:t>Düngekalkabsatz in Deutschland</a:t>
          </a:r>
          <a:endParaRPr lang="de-DE" sz="2800">
            <a:effectLst/>
          </a:endParaRPr>
        </a:p>
        <a:p xmlns:a="http://schemas.openxmlformats.org/drawingml/2006/main">
          <a:pPr rtl="0"/>
          <a:r>
            <a:rPr lang="de-DE" sz="2800" b="1" i="0" baseline="0">
              <a:effectLst/>
              <a:latin typeface="+mn-lt"/>
              <a:ea typeface="+mn-ea"/>
              <a:cs typeface="+mn-cs"/>
            </a:rPr>
            <a:t>Entwicklung der </a:t>
          </a:r>
          <a:r>
            <a:rPr lang="de-DE" sz="28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Kalktypen</a:t>
          </a:r>
          <a:r>
            <a:rPr lang="de-DE" sz="2800" b="1" i="0" baseline="0">
              <a:effectLst/>
              <a:latin typeface="+mn-lt"/>
              <a:ea typeface="+mn-ea"/>
              <a:cs typeface="+mn-cs"/>
            </a:rPr>
            <a:t>, 2010 - 2020</a:t>
          </a:r>
          <a:endParaRPr lang="de-DE" sz="2800">
            <a:effectLst/>
          </a:endParaRPr>
        </a:p>
        <a:p xmlns:a="http://schemas.openxmlformats.org/drawingml/2006/main">
          <a:endParaRPr lang="de-DE" sz="2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37</xdr:row>
      <xdr:rowOff>30480</xdr:rowOff>
    </xdr:from>
    <xdr:to>
      <xdr:col>10</xdr:col>
      <xdr:colOff>99060</xdr:colOff>
      <xdr:row>63</xdr:row>
      <xdr:rowOff>68580</xdr:rowOff>
    </xdr:to>
    <xdr:graphicFrame macro="">
      <xdr:nvGraphicFramePr>
        <xdr:cNvPr id="13450" name="Diagramm 1">
          <a:extLst>
            <a:ext uri="{FF2B5EF4-FFF2-40B4-BE49-F238E27FC236}">
              <a16:creationId xmlns:a16="http://schemas.microsoft.com/office/drawing/2014/main" id="{00000000-0008-0000-0400-00008A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20</xdr:col>
      <xdr:colOff>434340</xdr:colOff>
      <xdr:row>63</xdr:row>
      <xdr:rowOff>60960</xdr:rowOff>
    </xdr:to>
    <xdr:graphicFrame macro="">
      <xdr:nvGraphicFramePr>
        <xdr:cNvPr id="13451" name="Diagramm 1">
          <a:extLst>
            <a:ext uri="{FF2B5EF4-FFF2-40B4-BE49-F238E27FC236}">
              <a16:creationId xmlns:a16="http://schemas.microsoft.com/office/drawing/2014/main" id="{00000000-0008-0000-0400-00008B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25</xdr:col>
      <xdr:colOff>87085</xdr:colOff>
      <xdr:row>29</xdr:row>
      <xdr:rowOff>213360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10</xdr:col>
      <xdr:colOff>99604</xdr:colOff>
      <xdr:row>93</xdr:row>
      <xdr:rowOff>38100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0.05005</cdr:x>
      <cdr:y>0.15153</cdr:y>
    </cdr:from>
    <cdr:to>
      <cdr:x>0.17088</cdr:x>
      <cdr:y>0.23753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7241" y="610836"/>
          <a:ext cx="905399" cy="3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 b="1"/>
            <a:t>t  CaO</a:t>
          </a:r>
        </a:p>
      </cdr:txBody>
    </cdr:sp>
  </cdr:relSizeAnchor>
  <cdr:relSizeAnchor xmlns:cdr="http://schemas.openxmlformats.org/drawingml/2006/chartDrawing">
    <cdr:from>
      <cdr:x>0.18911</cdr:x>
      <cdr:y>0.04953</cdr:y>
    </cdr:from>
    <cdr:to>
      <cdr:x>0.90208</cdr:x>
      <cdr:y>0.13526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601911" y="254064"/>
          <a:ext cx="6130211" cy="443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400" b="1"/>
            <a:t>Düngekalk-A</a:t>
          </a:r>
          <a:r>
            <a:rPr lang="de-DE" sz="2400" b="1" baseline="0"/>
            <a:t>bsatz in Deutschland, 2004 - 2020</a:t>
          </a:r>
        </a:p>
      </cdr:txBody>
    </cdr:sp>
  </cdr:relSizeAnchor>
  <cdr:relSizeAnchor xmlns:cdr="http://schemas.openxmlformats.org/drawingml/2006/chartDrawing">
    <cdr:from>
      <cdr:x>0.02856</cdr:x>
      <cdr:y>0.93287</cdr:y>
    </cdr:from>
    <cdr:to>
      <cdr:x>0.28658</cdr:x>
      <cdr:y>0.99086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41300" y="4663621"/>
          <a:ext cx="2157816" cy="283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 baseline="0">
              <a:effectLst/>
              <a:latin typeface="+mn-lt"/>
              <a:ea typeface="+mn-ea"/>
              <a:cs typeface="+mn-cs"/>
            </a:rPr>
            <a:t>Quellen: Statist. Bundesamt, DHG</a:t>
          </a:r>
          <a:endParaRPr lang="de-DE">
            <a:effectLst/>
          </a:endParaRPr>
        </a:p>
        <a:p xmlns:a="http://schemas.openxmlformats.org/drawingml/2006/main">
          <a:pPr>
            <a:lnSpc>
              <a:spcPts val="1100"/>
            </a:lnSpc>
          </a:pPr>
          <a:endParaRPr lang="de-D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0.04682</cdr:x>
      <cdr:y>0.12914</cdr:y>
    </cdr:from>
    <cdr:to>
      <cdr:x>0.16327</cdr:x>
      <cdr:y>0.19241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6445" y="658097"/>
          <a:ext cx="1038955" cy="323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 b="1"/>
            <a:t>t  CaO</a:t>
          </a:r>
        </a:p>
      </cdr:txBody>
    </cdr:sp>
  </cdr:relSizeAnchor>
  <cdr:relSizeAnchor xmlns:cdr="http://schemas.openxmlformats.org/drawingml/2006/chartDrawing">
    <cdr:from>
      <cdr:x>0.15871</cdr:x>
      <cdr:y>0.05049</cdr:y>
    </cdr:from>
    <cdr:to>
      <cdr:x>0.90785</cdr:x>
      <cdr:y>0.1355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405231" y="261664"/>
          <a:ext cx="6629444" cy="443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2400" b="1"/>
            <a:t>Düngekalk-A</a:t>
          </a:r>
          <a:r>
            <a:rPr lang="de-DE" sz="2400" b="1" baseline="0"/>
            <a:t>absatz in Deutschland, 1991 - 2020</a:t>
          </a:r>
        </a:p>
      </cdr:txBody>
    </cdr:sp>
  </cdr:relSizeAnchor>
  <cdr:relSizeAnchor xmlns:cdr="http://schemas.openxmlformats.org/drawingml/2006/chartDrawing">
    <cdr:from>
      <cdr:x>0.04775</cdr:x>
      <cdr:y>0.95123</cdr:y>
    </cdr:from>
    <cdr:to>
      <cdr:x>0.04083</cdr:x>
      <cdr:y>0.95148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69900" y="4724400"/>
          <a:ext cx="217170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 baseline="0">
              <a:effectLst/>
              <a:latin typeface="+mn-lt"/>
              <a:ea typeface="+mn-ea"/>
              <a:cs typeface="+mn-cs"/>
            </a:rPr>
            <a:t>Quellen: Statist. Bundesamt, DHG</a:t>
          </a:r>
          <a:endParaRPr lang="de-DE">
            <a:effectLst/>
          </a:endParaRPr>
        </a:p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workbookViewId="0">
      <selection activeCell="AC4" sqref="AC4"/>
    </sheetView>
  </sheetViews>
  <sheetFormatPr baseColWidth="10" defaultRowHeight="12.3"/>
  <cols>
    <col min="1" max="1" width="9.88671875" customWidth="1"/>
    <col min="2" max="5" width="11.5546875" hidden="1" customWidth="1"/>
    <col min="6" max="6" width="10" hidden="1" customWidth="1"/>
    <col min="7" max="7" width="10.44140625" hidden="1" customWidth="1"/>
    <col min="8" max="9" width="9.88671875" hidden="1" customWidth="1"/>
    <col min="10" max="10" width="11.88671875" hidden="1" customWidth="1"/>
    <col min="11" max="11" width="10.33203125" hidden="1" customWidth="1"/>
    <col min="12" max="12" width="10.109375" hidden="1" customWidth="1"/>
    <col min="13" max="13" width="9.88671875" hidden="1" customWidth="1"/>
    <col min="14" max="14" width="10.109375" hidden="1" customWidth="1"/>
    <col min="15" max="15" width="10.5546875" customWidth="1"/>
    <col min="16" max="17" width="11.109375" customWidth="1"/>
    <col min="18" max="21" width="10.33203125" customWidth="1"/>
    <col min="22" max="23" width="11.109375" customWidth="1"/>
    <col min="24" max="25" width="10.33203125" customWidth="1"/>
    <col min="26" max="26" width="8.5546875" customWidth="1"/>
    <col min="27" max="27" width="11" customWidth="1"/>
    <col min="28" max="28" width="1.44140625" customWidth="1"/>
    <col min="29" max="29" width="12.6640625" customWidth="1"/>
  </cols>
  <sheetData>
    <row r="1" spans="1:29" ht="20.100000000000001">
      <c r="A1" s="304" t="s">
        <v>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6"/>
      <c r="P1" s="306"/>
      <c r="Q1" s="306"/>
      <c r="R1" s="306"/>
      <c r="S1" s="306"/>
      <c r="T1" s="306"/>
      <c r="U1" s="306"/>
      <c r="V1" s="306"/>
      <c r="W1" s="283"/>
      <c r="X1" s="196"/>
    </row>
    <row r="2" spans="1:29" ht="10.199999999999999" customHeight="1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P2" s="146"/>
      <c r="Q2" s="147"/>
      <c r="R2" s="172"/>
      <c r="S2" s="147"/>
      <c r="T2" s="147"/>
      <c r="U2" s="147"/>
      <c r="V2" s="147"/>
      <c r="W2" s="147"/>
      <c r="X2" s="147"/>
    </row>
    <row r="3" spans="1:29" ht="27" customHeight="1" thickTop="1" thickBot="1">
      <c r="A3" s="82"/>
      <c r="B3" s="86">
        <v>1997</v>
      </c>
      <c r="C3" s="90">
        <v>1998</v>
      </c>
      <c r="D3" s="90">
        <v>1999</v>
      </c>
      <c r="E3" s="90">
        <v>2000</v>
      </c>
      <c r="F3" s="90">
        <v>2001</v>
      </c>
      <c r="G3" s="90">
        <v>2002</v>
      </c>
      <c r="H3" s="174">
        <v>2003</v>
      </c>
      <c r="I3" s="174">
        <v>2004</v>
      </c>
      <c r="J3" s="176">
        <v>2005</v>
      </c>
      <c r="K3" s="90">
        <v>2006</v>
      </c>
      <c r="L3" s="176">
        <v>2007</v>
      </c>
      <c r="M3" s="175">
        <v>2008</v>
      </c>
      <c r="N3" s="86">
        <v>2009</v>
      </c>
      <c r="O3" s="174">
        <v>2010</v>
      </c>
      <c r="P3" s="174">
        <v>2011</v>
      </c>
      <c r="Q3" s="174">
        <v>2012</v>
      </c>
      <c r="R3" s="173">
        <v>2013</v>
      </c>
      <c r="S3" s="173">
        <v>2014</v>
      </c>
      <c r="T3" s="173">
        <v>2015</v>
      </c>
      <c r="U3" s="173">
        <v>2016</v>
      </c>
      <c r="V3" s="173">
        <v>2017</v>
      </c>
      <c r="W3" s="173">
        <v>2018</v>
      </c>
      <c r="X3" s="173">
        <v>2019</v>
      </c>
      <c r="Y3" s="197">
        <v>2020</v>
      </c>
      <c r="Z3" s="194" t="s">
        <v>29</v>
      </c>
      <c r="AA3" s="195" t="s">
        <v>30</v>
      </c>
      <c r="AC3" s="225" t="s">
        <v>38</v>
      </c>
    </row>
    <row r="4" spans="1:29" ht="18" thickTop="1">
      <c r="A4" s="80" t="s">
        <v>9</v>
      </c>
      <c r="B4" s="96">
        <v>296764</v>
      </c>
      <c r="C4" s="87">
        <v>340722</v>
      </c>
      <c r="D4" s="87">
        <v>274563</v>
      </c>
      <c r="E4" s="87">
        <v>263983</v>
      </c>
      <c r="F4" s="87">
        <v>237655</v>
      </c>
      <c r="G4" s="87">
        <v>326056</v>
      </c>
      <c r="H4" s="87">
        <v>348730</v>
      </c>
      <c r="I4" s="87">
        <v>239523</v>
      </c>
      <c r="J4" s="83">
        <v>185299</v>
      </c>
      <c r="K4" s="83">
        <f>'Daten lfd. CaO Detail'!C86</f>
        <v>205418</v>
      </c>
      <c r="L4" s="83">
        <v>256021</v>
      </c>
      <c r="M4" s="83">
        <v>271009</v>
      </c>
      <c r="N4" s="83">
        <v>402146</v>
      </c>
      <c r="O4" s="83">
        <f>'Daten lfd. CaO Detail'!C106</f>
        <v>199677</v>
      </c>
      <c r="P4" s="84">
        <v>423022</v>
      </c>
      <c r="Q4" s="29">
        <v>411875</v>
      </c>
      <c r="R4" s="177">
        <v>305356</v>
      </c>
      <c r="S4" s="177">
        <v>556202</v>
      </c>
      <c r="T4" s="177">
        <v>429297</v>
      </c>
      <c r="U4" s="177">
        <v>327397</v>
      </c>
      <c r="V4" s="177">
        <v>472535</v>
      </c>
      <c r="W4" s="177">
        <v>444805</v>
      </c>
      <c r="X4" s="177">
        <v>438350</v>
      </c>
      <c r="Y4" s="177">
        <f>'Daten lfd. CaO Detail'!C156</f>
        <v>424611</v>
      </c>
      <c r="Z4" s="228">
        <f>Y4/X4*100</f>
        <v>96.865746549560853</v>
      </c>
      <c r="AA4" s="229">
        <f>Z4-100</f>
        <v>-3.1342534504391466</v>
      </c>
      <c r="AC4" s="226">
        <f>Y4/$Y$8</f>
        <v>0.15197956668691337</v>
      </c>
    </row>
    <row r="5" spans="1:29" ht="17.7">
      <c r="A5" s="80" t="s">
        <v>10</v>
      </c>
      <c r="B5" s="96">
        <v>338599</v>
      </c>
      <c r="C5" s="88">
        <v>320209</v>
      </c>
      <c r="D5" s="88">
        <v>340994</v>
      </c>
      <c r="E5" s="88">
        <v>429480</v>
      </c>
      <c r="F5" s="88">
        <v>351778</v>
      </c>
      <c r="G5" s="88">
        <v>376457</v>
      </c>
      <c r="H5" s="88">
        <v>344150</v>
      </c>
      <c r="I5" s="88">
        <v>371418</v>
      </c>
      <c r="J5" s="84">
        <v>405196</v>
      </c>
      <c r="K5" s="84">
        <f>'Daten lfd. CaO Detail'!C87</f>
        <v>359049</v>
      </c>
      <c r="L5" s="84">
        <f>'Daten lfd. CaO Detail'!C92</f>
        <v>463471</v>
      </c>
      <c r="M5" s="84">
        <v>495198</v>
      </c>
      <c r="N5" s="84">
        <v>416327</v>
      </c>
      <c r="O5" s="84">
        <f>'Daten lfd. CaO Detail'!C107</f>
        <v>452968</v>
      </c>
      <c r="P5" s="84">
        <f>'Daten lfd. CaO Detail'!C112</f>
        <v>447724</v>
      </c>
      <c r="Q5" s="29">
        <v>459554</v>
      </c>
      <c r="R5" s="177">
        <v>545242</v>
      </c>
      <c r="S5" s="177">
        <v>573753</v>
      </c>
      <c r="T5" s="177">
        <v>517982</v>
      </c>
      <c r="U5" s="177">
        <v>469786</v>
      </c>
      <c r="V5" s="177">
        <v>507382</v>
      </c>
      <c r="W5" s="177">
        <v>715358</v>
      </c>
      <c r="X5" s="177">
        <v>571802</v>
      </c>
      <c r="Y5" s="177">
        <f>'Daten lfd. CaO Detail'!C157</f>
        <v>697152</v>
      </c>
      <c r="Z5" s="230">
        <f>Y5/X5*100</f>
        <v>121.92192402265121</v>
      </c>
      <c r="AA5" s="231">
        <f>Z5-100</f>
        <v>21.921924022651211</v>
      </c>
      <c r="AC5" s="226">
        <f>Y5/$Y$8</f>
        <v>0.24952923705442168</v>
      </c>
    </row>
    <row r="6" spans="1:29" ht="17.7">
      <c r="A6" s="80" t="s">
        <v>11</v>
      </c>
      <c r="B6" s="96">
        <v>996349</v>
      </c>
      <c r="C6" s="88">
        <v>967097</v>
      </c>
      <c r="D6" s="88">
        <v>1079866</v>
      </c>
      <c r="E6" s="88">
        <v>1149718</v>
      </c>
      <c r="F6" s="88">
        <v>1240070</v>
      </c>
      <c r="G6" s="88">
        <v>1009900</v>
      </c>
      <c r="H6" s="88">
        <v>996483</v>
      </c>
      <c r="I6" s="88">
        <v>986955</v>
      </c>
      <c r="J6" s="84">
        <v>1012404</v>
      </c>
      <c r="K6" s="84">
        <v>1078751</v>
      </c>
      <c r="L6" s="84">
        <f>'Daten lfd. CaO Detail'!C93</f>
        <v>1095866</v>
      </c>
      <c r="M6" s="84">
        <v>1293484</v>
      </c>
      <c r="N6" s="84">
        <v>1088025</v>
      </c>
      <c r="O6" s="84">
        <f>'Daten lfd. CaO Detail'!C108</f>
        <v>1042272</v>
      </c>
      <c r="P6" s="84">
        <f>'Daten lfd. CaO Detail'!C113</f>
        <v>1100277</v>
      </c>
      <c r="Q6" s="29">
        <v>1277441</v>
      </c>
      <c r="R6" s="177">
        <v>1318518</v>
      </c>
      <c r="S6" s="177">
        <v>1366101</v>
      </c>
      <c r="T6" s="177">
        <v>1309065</v>
      </c>
      <c r="U6" s="177">
        <v>1239068</v>
      </c>
      <c r="V6" s="177">
        <v>1435414</v>
      </c>
      <c r="W6" s="177">
        <v>1449173</v>
      </c>
      <c r="X6" s="177">
        <v>1275240</v>
      </c>
      <c r="Y6" s="177">
        <f>'Daten lfd. CaO Detail'!C158</f>
        <v>1266822</v>
      </c>
      <c r="Z6" s="232">
        <f>Y6/X6*100</f>
        <v>99.339888962077723</v>
      </c>
      <c r="AA6" s="233">
        <f>Z6-100</f>
        <v>-0.66011103792227743</v>
      </c>
      <c r="AC6" s="226">
        <f>Y6/$Y$8</f>
        <v>0.45342927674848033</v>
      </c>
    </row>
    <row r="7" spans="1:29" ht="18" thickBot="1">
      <c r="A7" s="81" t="s">
        <v>12</v>
      </c>
      <c r="B7" s="97">
        <v>463294</v>
      </c>
      <c r="C7" s="89">
        <v>378902</v>
      </c>
      <c r="D7" s="89">
        <v>495742</v>
      </c>
      <c r="E7" s="89">
        <v>431605</v>
      </c>
      <c r="F7" s="89">
        <v>449620</v>
      </c>
      <c r="G7" s="89">
        <v>415794</v>
      </c>
      <c r="H7" s="89">
        <v>493031</v>
      </c>
      <c r="I7" s="89">
        <v>357618</v>
      </c>
      <c r="J7" s="85">
        <f>'Daten lfd. CaO Detail'!C84</f>
        <v>319746</v>
      </c>
      <c r="K7" s="85">
        <v>356880</v>
      </c>
      <c r="L7" s="85">
        <f>'Daten lfd. CaO Detail'!C94</f>
        <v>352345</v>
      </c>
      <c r="M7" s="85">
        <v>388197</v>
      </c>
      <c r="N7" s="85">
        <v>334206</v>
      </c>
      <c r="O7" s="145">
        <f>'Daten lfd. CaO Detail'!C109</f>
        <v>361211</v>
      </c>
      <c r="P7" s="84">
        <f>'Daten lfd. CaO Detail'!C114</f>
        <v>409866</v>
      </c>
      <c r="Q7" s="29">
        <v>399198</v>
      </c>
      <c r="R7" s="177">
        <v>416548</v>
      </c>
      <c r="S7" s="177">
        <v>439125</v>
      </c>
      <c r="T7" s="177">
        <v>326592</v>
      </c>
      <c r="U7" s="177">
        <v>418982</v>
      </c>
      <c r="V7" s="177">
        <v>337968</v>
      </c>
      <c r="W7" s="177">
        <v>407087</v>
      </c>
      <c r="X7" s="177">
        <v>314670</v>
      </c>
      <c r="Y7" s="177">
        <f>'Daten lfd. CaO Detail'!C159</f>
        <v>405284</v>
      </c>
      <c r="Z7" s="234">
        <f>Y7/X7*100</f>
        <v>128.79651698604889</v>
      </c>
      <c r="AA7" s="235">
        <f>Z7-100</f>
        <v>28.796516986048886</v>
      </c>
      <c r="AC7" s="226">
        <f>Y7/$Y$8</f>
        <v>0.14506191951018463</v>
      </c>
    </row>
    <row r="8" spans="1:29" s="171" customFormat="1" ht="18.3" thickTop="1" thickBot="1">
      <c r="A8" s="167" t="s">
        <v>6</v>
      </c>
      <c r="B8" s="168">
        <f t="shared" ref="B8:Y8" si="0">SUM(B4:B7)</f>
        <v>2095006</v>
      </c>
      <c r="C8" s="169">
        <f t="shared" si="0"/>
        <v>2006930</v>
      </c>
      <c r="D8" s="169">
        <f t="shared" si="0"/>
        <v>2191165</v>
      </c>
      <c r="E8" s="169">
        <f t="shared" si="0"/>
        <v>2274786</v>
      </c>
      <c r="F8" s="169">
        <f t="shared" si="0"/>
        <v>2279123</v>
      </c>
      <c r="G8" s="169">
        <f t="shared" si="0"/>
        <v>2128207</v>
      </c>
      <c r="H8" s="169">
        <f t="shared" si="0"/>
        <v>2182394</v>
      </c>
      <c r="I8" s="169">
        <f t="shared" si="0"/>
        <v>1955514</v>
      </c>
      <c r="J8" s="170">
        <f t="shared" si="0"/>
        <v>1922645</v>
      </c>
      <c r="K8" s="170">
        <f t="shared" si="0"/>
        <v>2000098</v>
      </c>
      <c r="L8" s="170">
        <f t="shared" si="0"/>
        <v>2167703</v>
      </c>
      <c r="M8" s="170">
        <f t="shared" si="0"/>
        <v>2447888</v>
      </c>
      <c r="N8" s="170">
        <f t="shared" si="0"/>
        <v>2240704</v>
      </c>
      <c r="O8" s="170">
        <f t="shared" si="0"/>
        <v>2056128</v>
      </c>
      <c r="P8" s="170">
        <f t="shared" si="0"/>
        <v>2380889</v>
      </c>
      <c r="Q8" s="170">
        <f t="shared" si="0"/>
        <v>2548068</v>
      </c>
      <c r="R8" s="170">
        <f t="shared" si="0"/>
        <v>2585664</v>
      </c>
      <c r="S8" s="170">
        <f t="shared" si="0"/>
        <v>2935181</v>
      </c>
      <c r="T8" s="170">
        <v>2582936</v>
      </c>
      <c r="U8" s="170">
        <v>2455233</v>
      </c>
      <c r="V8" s="170">
        <v>2753299</v>
      </c>
      <c r="W8" s="170">
        <v>3016423</v>
      </c>
      <c r="X8" s="170">
        <v>2604806</v>
      </c>
      <c r="Y8" s="170">
        <f t="shared" si="0"/>
        <v>2793869</v>
      </c>
      <c r="Z8" s="236">
        <f>Y8/X8*100</f>
        <v>107.25823727371635</v>
      </c>
      <c r="AA8" s="237">
        <f>Z8-100</f>
        <v>7.2582372737163467</v>
      </c>
      <c r="AC8" s="227">
        <f>Y8/$Y$8</f>
        <v>1</v>
      </c>
    </row>
    <row r="9" spans="1:29" ht="12.6" thickTop="1">
      <c r="P9" s="152" t="s">
        <v>24</v>
      </c>
      <c r="Q9" s="152"/>
      <c r="Y9" s="301">
        <f>Y8/X11</f>
        <v>1.0703548378378529</v>
      </c>
    </row>
    <row r="10" spans="1:29" ht="12.6" thickBot="1">
      <c r="A10" t="s">
        <v>22</v>
      </c>
      <c r="Y10" s="152" t="s">
        <v>41</v>
      </c>
    </row>
    <row r="11" spans="1:29" ht="12.6" thickBot="1">
      <c r="Q11" s="152" t="s">
        <v>6</v>
      </c>
      <c r="R11" s="152" t="s">
        <v>39</v>
      </c>
      <c r="U11" s="300">
        <f>SUM(O8:Y8)</f>
        <v>28712496</v>
      </c>
      <c r="V11" s="152" t="s">
        <v>40</v>
      </c>
      <c r="X11" s="262">
        <f>U11/11</f>
        <v>2610226.9090909092</v>
      </c>
      <c r="Y11" t="s">
        <v>37</v>
      </c>
    </row>
    <row r="12" spans="1:29">
      <c r="Y12" s="2"/>
    </row>
    <row r="13" spans="1:29">
      <c r="AA13" s="152" t="s">
        <v>24</v>
      </c>
    </row>
    <row r="14" spans="1:29">
      <c r="O14" s="147"/>
      <c r="X14" s="152" t="s">
        <v>24</v>
      </c>
    </row>
    <row r="15" spans="1:29">
      <c r="O15" s="147"/>
      <c r="U15" s="152" t="s">
        <v>24</v>
      </c>
      <c r="V15" s="152"/>
      <c r="W15" s="152"/>
    </row>
    <row r="16" spans="1:29">
      <c r="P16" s="147"/>
      <c r="Q16" s="147"/>
      <c r="AA16" s="152" t="s">
        <v>24</v>
      </c>
    </row>
    <row r="17" spans="1:25">
      <c r="P17" s="147"/>
      <c r="Q17" s="147"/>
      <c r="Y17" s="152" t="s">
        <v>24</v>
      </c>
    </row>
    <row r="18" spans="1:25">
      <c r="A18" s="261"/>
    </row>
    <row r="19" spans="1:25">
      <c r="P19" s="152" t="s">
        <v>24</v>
      </c>
    </row>
  </sheetData>
  <mergeCells count="2">
    <mergeCell ref="A2:N2"/>
    <mergeCell ref="A1:V1"/>
  </mergeCells>
  <phoneticPr fontId="0" type="noConversion"/>
  <pageMargins left="0.46" right="0.22" top="0.984251969" bottom="0.984251969" header="0.4921259845" footer="0.492125984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23"/>
  <sheetViews>
    <sheetView tabSelected="1" zoomScale="80" zoomScaleNormal="80" workbookViewId="0">
      <pane xSplit="2" ySplit="5" topLeftCell="C111" activePane="bottomRight" state="frozen"/>
      <selection pane="topRight" activeCell="C1" sqref="C1"/>
      <selection pane="bottomLeft" activeCell="A4" sqref="A4"/>
      <selection pane="bottomRight" activeCell="X167" sqref="X167"/>
    </sheetView>
  </sheetViews>
  <sheetFormatPr baseColWidth="10" defaultRowHeight="12.3"/>
  <cols>
    <col min="1" max="1" width="15" style="1" customWidth="1"/>
    <col min="2" max="2" width="7.6640625" style="51" customWidth="1"/>
    <col min="3" max="3" width="13.109375" style="3" bestFit="1" customWidth="1"/>
    <col min="4" max="4" width="13.44140625" style="25" customWidth="1"/>
    <col min="5" max="5" width="11.44140625" style="31" customWidth="1"/>
    <col min="6" max="6" width="14.88671875" style="2" bestFit="1" customWidth="1"/>
    <col min="7" max="7" width="12" style="2" customWidth="1"/>
    <col min="8" max="9" width="11.44140625" style="2" bestFit="1" customWidth="1"/>
    <col min="10" max="10" width="10.5546875" style="37" bestFit="1" customWidth="1"/>
    <col min="11" max="11" width="9.5546875" style="37" bestFit="1" customWidth="1"/>
    <col min="12" max="12" width="9.6640625" style="77" bestFit="1" customWidth="1"/>
    <col min="13" max="13" width="7" style="37" bestFit="1" customWidth="1"/>
    <col min="14" max="14" width="8.5546875" style="37" bestFit="1" customWidth="1"/>
    <col min="15" max="15" width="7" style="67" bestFit="1" customWidth="1"/>
    <col min="16" max="16" width="13.5546875" customWidth="1"/>
    <col min="17" max="17" width="12.88671875" bestFit="1" customWidth="1"/>
    <col min="18" max="18" width="10.88671875" bestFit="1" customWidth="1"/>
    <col min="19" max="19" width="13.44140625" bestFit="1" customWidth="1"/>
    <col min="20" max="20" width="13.109375" bestFit="1" customWidth="1"/>
    <col min="21" max="21" width="8.88671875" hidden="1" customWidth="1"/>
    <col min="22" max="22" width="13.44140625" bestFit="1" customWidth="1"/>
    <col min="23" max="23" width="12.33203125" bestFit="1" customWidth="1"/>
    <col min="24" max="24" width="10" style="2" bestFit="1" customWidth="1"/>
    <col min="25" max="25" width="8.88671875" style="25" bestFit="1" customWidth="1"/>
    <col min="26" max="26" width="7" style="25" bestFit="1" customWidth="1"/>
    <col min="27" max="27" width="8.5546875" style="25" bestFit="1" customWidth="1"/>
    <col min="28" max="28" width="7" style="36" bestFit="1" customWidth="1"/>
  </cols>
  <sheetData>
    <row r="1" spans="1:28" s="48" customFormat="1" ht="20.399999999999999" thickBot="1">
      <c r="A1" s="159" t="s">
        <v>44</v>
      </c>
      <c r="B1" s="159"/>
      <c r="C1" s="160"/>
      <c r="D1" s="161"/>
      <c r="E1" s="162"/>
      <c r="F1" s="163"/>
      <c r="G1" s="163"/>
      <c r="H1" s="163"/>
      <c r="I1" s="163"/>
      <c r="J1" s="164"/>
      <c r="K1" s="164"/>
      <c r="L1" s="165"/>
      <c r="M1" s="164"/>
      <c r="N1" s="164"/>
      <c r="O1" s="166"/>
    </row>
    <row r="2" spans="1:28" s="48" customFormat="1" ht="15.75" customHeight="1" thickBot="1">
      <c r="A2" s="258" t="s">
        <v>43</v>
      </c>
      <c r="B2" s="259"/>
      <c r="C2" s="160"/>
      <c r="D2" s="161"/>
      <c r="E2" s="162"/>
      <c r="F2" s="163"/>
      <c r="G2" s="163"/>
      <c r="H2" s="163"/>
      <c r="I2" s="163"/>
      <c r="J2" s="164"/>
      <c r="K2" s="164"/>
      <c r="L2" s="165"/>
      <c r="M2" s="164"/>
      <c r="N2" s="164"/>
      <c r="O2" s="166"/>
    </row>
    <row r="3" spans="1:28" ht="15.3" thickBot="1">
      <c r="A3" s="153" t="s">
        <v>22</v>
      </c>
      <c r="B3" s="154"/>
      <c r="C3" s="155"/>
      <c r="D3" s="221"/>
      <c r="E3" s="155"/>
      <c r="F3" s="157"/>
      <c r="G3" s="158" t="s">
        <v>14</v>
      </c>
      <c r="H3" s="155"/>
      <c r="I3" s="156"/>
      <c r="J3" s="310" t="s">
        <v>18</v>
      </c>
      <c r="K3" s="303"/>
      <c r="L3" s="303"/>
      <c r="M3" s="303"/>
      <c r="N3" s="303"/>
      <c r="O3" s="311"/>
      <c r="P3" s="302" t="s">
        <v>17</v>
      </c>
      <c r="Q3" s="312"/>
      <c r="R3" s="312"/>
      <c r="S3" s="312"/>
      <c r="T3" s="312"/>
      <c r="U3" s="312"/>
      <c r="V3" s="312"/>
      <c r="W3" s="313"/>
      <c r="X3" s="307" t="s">
        <v>19</v>
      </c>
      <c r="Y3" s="308"/>
      <c r="Z3" s="308"/>
      <c r="AA3" s="308"/>
      <c r="AB3" s="309"/>
    </row>
    <row r="4" spans="1:28" s="8" customFormat="1" ht="23.1" thickTop="1">
      <c r="A4" s="78"/>
      <c r="B4" s="79"/>
      <c r="C4" s="7" t="s">
        <v>6</v>
      </c>
      <c r="D4" s="21" t="s">
        <v>1</v>
      </c>
      <c r="E4" s="30" t="s">
        <v>2</v>
      </c>
      <c r="F4" s="6" t="s">
        <v>0</v>
      </c>
      <c r="G4" s="6" t="s">
        <v>3</v>
      </c>
      <c r="H4" s="6" t="s">
        <v>4</v>
      </c>
      <c r="I4" s="70" t="s">
        <v>5</v>
      </c>
      <c r="J4" s="38" t="s">
        <v>0</v>
      </c>
      <c r="K4" s="38" t="s">
        <v>3</v>
      </c>
      <c r="L4" s="38" t="s">
        <v>20</v>
      </c>
      <c r="M4" s="38" t="s">
        <v>15</v>
      </c>
      <c r="N4" s="38" t="s">
        <v>5</v>
      </c>
      <c r="O4" s="63" t="s">
        <v>16</v>
      </c>
      <c r="P4" s="6" t="s">
        <v>0</v>
      </c>
      <c r="Q4" s="6" t="s">
        <v>3</v>
      </c>
      <c r="R4" s="6" t="s">
        <v>4</v>
      </c>
      <c r="S4" s="6" t="s">
        <v>5</v>
      </c>
      <c r="T4" s="7" t="s">
        <v>6</v>
      </c>
      <c r="U4" s="26"/>
      <c r="V4" s="21" t="s">
        <v>1</v>
      </c>
      <c r="W4" s="16" t="s">
        <v>2</v>
      </c>
      <c r="X4" s="6" t="s">
        <v>0</v>
      </c>
      <c r="Y4" s="6" t="s">
        <v>3</v>
      </c>
      <c r="Z4" s="6" t="s">
        <v>15</v>
      </c>
      <c r="AA4" s="6" t="s">
        <v>5</v>
      </c>
      <c r="AB4" s="43" t="s">
        <v>16</v>
      </c>
    </row>
    <row r="5" spans="1:28" s="11" customFormat="1" ht="11.7" thickBot="1">
      <c r="A5" s="41"/>
      <c r="B5" s="49"/>
      <c r="C5" s="10" t="s">
        <v>7</v>
      </c>
      <c r="D5" s="22" t="s">
        <v>7</v>
      </c>
      <c r="E5" s="205" t="s">
        <v>7</v>
      </c>
      <c r="F5" s="9" t="s">
        <v>7</v>
      </c>
      <c r="G5" s="9" t="s">
        <v>7</v>
      </c>
      <c r="H5" s="9" t="s">
        <v>7</v>
      </c>
      <c r="I5" s="71" t="s">
        <v>7</v>
      </c>
      <c r="J5" s="39" t="s">
        <v>13</v>
      </c>
      <c r="K5" s="39" t="s">
        <v>13</v>
      </c>
      <c r="L5" s="39" t="s">
        <v>13</v>
      </c>
      <c r="M5" s="39" t="s">
        <v>13</v>
      </c>
      <c r="N5" s="39" t="s">
        <v>13</v>
      </c>
      <c r="O5" s="64"/>
      <c r="P5" s="9" t="s">
        <v>8</v>
      </c>
      <c r="Q5" s="9" t="s">
        <v>8</v>
      </c>
      <c r="R5" s="9" t="s">
        <v>8</v>
      </c>
      <c r="S5" s="9" t="s">
        <v>8</v>
      </c>
      <c r="T5" s="10" t="s">
        <v>8</v>
      </c>
      <c r="U5" s="27"/>
      <c r="V5" s="22" t="s">
        <v>8</v>
      </c>
      <c r="W5" s="17" t="s">
        <v>8</v>
      </c>
      <c r="X5" s="9" t="s">
        <v>13</v>
      </c>
      <c r="Y5" s="33" t="s">
        <v>13</v>
      </c>
      <c r="Z5" s="33" t="s">
        <v>13</v>
      </c>
      <c r="AA5" s="33" t="s">
        <v>13</v>
      </c>
      <c r="AB5" s="44"/>
    </row>
    <row r="6" spans="1:28" s="4" customFormat="1" ht="12.6" thickTop="1">
      <c r="A6" s="42" t="s">
        <v>9</v>
      </c>
      <c r="B6" s="50">
        <v>1990</v>
      </c>
      <c r="C6" s="12">
        <f>F6+G6+H6+I6</f>
        <v>269111</v>
      </c>
      <c r="D6" s="23">
        <f t="shared" ref="D6:D54" si="0">C6-E6</f>
        <v>231328</v>
      </c>
      <c r="E6" s="206">
        <v>37783</v>
      </c>
      <c r="F6" s="15">
        <v>159525</v>
      </c>
      <c r="G6" s="15">
        <v>44951</v>
      </c>
      <c r="H6" s="15">
        <v>54805</v>
      </c>
      <c r="I6" s="72">
        <v>9830</v>
      </c>
      <c r="J6" s="40">
        <f t="shared" ref="J6:J52" si="1">F6/Gesamt*100</f>
        <v>59.278513327214419</v>
      </c>
      <c r="K6" s="40">
        <f t="shared" ref="K6:K52" si="2">G6/Gesamt*100</f>
        <v>16.703516392863911</v>
      </c>
      <c r="L6" s="76">
        <f>SUM(J6:K6)</f>
        <v>75.98202972007833</v>
      </c>
      <c r="M6" s="40">
        <f t="shared" ref="M6:M48" si="3">H6/Gesamt*100</f>
        <v>20.36520246292422</v>
      </c>
      <c r="N6" s="40">
        <f t="shared" ref="N6:N48" si="4">I6/Gesamt*100</f>
        <v>3.6527678169974473</v>
      </c>
      <c r="O6" s="65">
        <f t="shared" ref="O6:O48" si="5">E6/Gesamt*100</f>
        <v>14.039931478088969</v>
      </c>
      <c r="P6" s="15">
        <f>F6*2</f>
        <v>319050</v>
      </c>
      <c r="Q6" s="15">
        <f>G6/0.85</f>
        <v>52883.529411764706</v>
      </c>
      <c r="R6" s="15">
        <f>H6/0.45</f>
        <v>121788.88888888889</v>
      </c>
      <c r="S6" s="15">
        <f>I6/0.4</f>
        <v>24575</v>
      </c>
      <c r="T6" s="12">
        <f>SUM(P6:S6)</f>
        <v>518297.41830065357</v>
      </c>
      <c r="U6" s="28"/>
      <c r="V6" s="23">
        <f>T6-W6</f>
        <v>442731.41830065357</v>
      </c>
      <c r="W6" s="20">
        <f>E6*2</f>
        <v>75566</v>
      </c>
      <c r="X6" s="15"/>
      <c r="Y6" s="34"/>
      <c r="Z6" s="34"/>
      <c r="AA6" s="34"/>
      <c r="AB6" s="45"/>
    </row>
    <row r="7" spans="1:28" s="4" customFormat="1">
      <c r="A7" s="42" t="s">
        <v>10</v>
      </c>
      <c r="B7" s="50">
        <v>1990</v>
      </c>
      <c r="C7" s="12">
        <f>F7+G7+H7+I7</f>
        <v>227657</v>
      </c>
      <c r="D7" s="23">
        <f t="shared" si="0"/>
        <v>194310</v>
      </c>
      <c r="E7" s="206">
        <v>33347</v>
      </c>
      <c r="F7" s="15">
        <v>148495</v>
      </c>
      <c r="G7" s="15">
        <v>32150</v>
      </c>
      <c r="H7" s="15">
        <v>43057</v>
      </c>
      <c r="I7" s="72">
        <v>3955</v>
      </c>
      <c r="J7" s="40">
        <f t="shared" si="1"/>
        <v>65.22751332047774</v>
      </c>
      <c r="K7" s="40">
        <f t="shared" si="2"/>
        <v>14.122122315588804</v>
      </c>
      <c r="L7" s="76">
        <f t="shared" ref="L7:L48" si="6">SUM(J7:K7)</f>
        <v>79.349635636066552</v>
      </c>
      <c r="M7" s="40">
        <f t="shared" si="3"/>
        <v>18.913101727598974</v>
      </c>
      <c r="N7" s="40">
        <f t="shared" si="4"/>
        <v>1.7372626363344856</v>
      </c>
      <c r="O7" s="65">
        <f t="shared" si="5"/>
        <v>14.647913308178531</v>
      </c>
      <c r="P7" s="15">
        <f>F7*2</f>
        <v>296990</v>
      </c>
      <c r="Q7" s="15">
        <f>G7/0.85</f>
        <v>37823.529411764706</v>
      </c>
      <c r="R7" s="15">
        <f>H7/0.45</f>
        <v>95682.222222222219</v>
      </c>
      <c r="S7" s="15">
        <f>I7/0.4</f>
        <v>9887.5</v>
      </c>
      <c r="T7" s="12">
        <f>SUM(P7:S7)</f>
        <v>440383.25163398695</v>
      </c>
      <c r="U7" s="28"/>
      <c r="V7" s="23">
        <f>T7-W7</f>
        <v>373689.25163398695</v>
      </c>
      <c r="W7" s="20">
        <f>E7*2</f>
        <v>66694</v>
      </c>
      <c r="X7" s="15"/>
      <c r="Y7" s="34"/>
      <c r="Z7" s="34"/>
      <c r="AA7" s="34"/>
      <c r="AB7" s="45"/>
    </row>
    <row r="8" spans="1:28" s="4" customFormat="1">
      <c r="A8" s="42" t="s">
        <v>11</v>
      </c>
      <c r="B8" s="50">
        <v>1990</v>
      </c>
      <c r="C8" s="12">
        <f>F8+G8+H8+I8</f>
        <v>709486</v>
      </c>
      <c r="D8" s="23">
        <f t="shared" si="0"/>
        <v>668739</v>
      </c>
      <c r="E8" s="206">
        <v>40747</v>
      </c>
      <c r="F8" s="15">
        <v>440573</v>
      </c>
      <c r="G8" s="15">
        <v>101855</v>
      </c>
      <c r="H8" s="15">
        <v>74864</v>
      </c>
      <c r="I8" s="72">
        <v>92194</v>
      </c>
      <c r="J8" s="40">
        <f t="shared" si="1"/>
        <v>62.097490295791602</v>
      </c>
      <c r="K8" s="40">
        <f t="shared" si="2"/>
        <v>14.356167704507206</v>
      </c>
      <c r="L8" s="76">
        <f t="shared" si="6"/>
        <v>76.453658000298802</v>
      </c>
      <c r="M8" s="40">
        <f t="shared" si="3"/>
        <v>10.551864307400006</v>
      </c>
      <c r="N8" s="40">
        <f t="shared" si="4"/>
        <v>12.994477692301187</v>
      </c>
      <c r="O8" s="65">
        <f t="shared" si="5"/>
        <v>5.743171817343824</v>
      </c>
      <c r="P8" s="15">
        <f>F8*2</f>
        <v>881146</v>
      </c>
      <c r="Q8" s="15">
        <f>G8/0.85</f>
        <v>119829.41176470589</v>
      </c>
      <c r="R8" s="15">
        <f>H8/0.45</f>
        <v>166364.44444444444</v>
      </c>
      <c r="S8" s="15">
        <f>I8/0.4</f>
        <v>230485</v>
      </c>
      <c r="T8" s="12">
        <f>SUM(P8:S8)</f>
        <v>1397824.8562091503</v>
      </c>
      <c r="U8" s="28"/>
      <c r="V8" s="23">
        <f>T8-W8</f>
        <v>1316330.8562091503</v>
      </c>
      <c r="W8" s="20">
        <f>E8*2</f>
        <v>81494</v>
      </c>
      <c r="X8" s="15"/>
      <c r="Y8" s="34"/>
      <c r="Z8" s="34"/>
      <c r="AA8" s="34"/>
      <c r="AB8" s="45"/>
    </row>
    <row r="9" spans="1:28" s="4" customFormat="1" ht="12.6" thickBot="1">
      <c r="A9" s="42" t="s">
        <v>12</v>
      </c>
      <c r="B9" s="50">
        <v>1990</v>
      </c>
      <c r="C9" s="5">
        <f>F9+G9+H9+I9</f>
        <v>314595</v>
      </c>
      <c r="D9" s="23">
        <f t="shared" si="0"/>
        <v>243822</v>
      </c>
      <c r="E9" s="207">
        <v>70773</v>
      </c>
      <c r="F9" s="14">
        <v>166091</v>
      </c>
      <c r="G9" s="14">
        <v>28296</v>
      </c>
      <c r="H9" s="14">
        <v>28001</v>
      </c>
      <c r="I9" s="73">
        <v>92207</v>
      </c>
      <c r="J9" s="40">
        <f t="shared" si="1"/>
        <v>52.795181105866277</v>
      </c>
      <c r="K9" s="40">
        <f t="shared" si="2"/>
        <v>8.9944213989414958</v>
      </c>
      <c r="L9" s="76">
        <f t="shared" si="6"/>
        <v>61.789602504807775</v>
      </c>
      <c r="M9" s="40">
        <f t="shared" si="3"/>
        <v>8.9006500421176433</v>
      </c>
      <c r="N9" s="40">
        <f t="shared" si="4"/>
        <v>29.309747453074586</v>
      </c>
      <c r="O9" s="65">
        <f t="shared" si="5"/>
        <v>22.496543174557765</v>
      </c>
      <c r="P9" s="14">
        <f>F9*2</f>
        <v>332182</v>
      </c>
      <c r="Q9" s="14">
        <f>G9/0.85</f>
        <v>33289.411764705881</v>
      </c>
      <c r="R9" s="14">
        <f>H9/0.45</f>
        <v>62224.444444444445</v>
      </c>
      <c r="S9" s="14">
        <f>I9/0.4</f>
        <v>230517.5</v>
      </c>
      <c r="T9" s="5">
        <f>SUM(P9:S9)</f>
        <v>658213.35620915028</v>
      </c>
      <c r="U9" s="29"/>
      <c r="V9" s="23">
        <f>T9-W9</f>
        <v>516667.35620915028</v>
      </c>
      <c r="W9" s="18">
        <f>E9*2</f>
        <v>141546</v>
      </c>
      <c r="X9" s="14"/>
      <c r="Y9" s="34"/>
      <c r="Z9" s="34"/>
      <c r="AA9" s="34"/>
      <c r="AB9" s="45"/>
    </row>
    <row r="10" spans="1:28" s="94" customFormat="1" ht="15.6" thickTop="1" thickBot="1">
      <c r="A10" s="69" t="s">
        <v>21</v>
      </c>
      <c r="B10" s="52">
        <v>1990</v>
      </c>
      <c r="C10" s="54">
        <f>SUM(C6:C9)</f>
        <v>1520849</v>
      </c>
      <c r="D10" s="55">
        <f t="shared" si="0"/>
        <v>1338199</v>
      </c>
      <c r="E10" s="58">
        <f>SUM(E6:E9)</f>
        <v>182650</v>
      </c>
      <c r="F10" s="53">
        <f>SUM(F6:F9)</f>
        <v>914684</v>
      </c>
      <c r="G10" s="53">
        <f>SUM(G6:G9)</f>
        <v>207252</v>
      </c>
      <c r="H10" s="53">
        <f>SUM(H6:H9)</f>
        <v>200727</v>
      </c>
      <c r="I10" s="57">
        <f>SUM(I6:I9)</f>
        <v>198186</v>
      </c>
      <c r="J10" s="56">
        <f t="shared" si="1"/>
        <v>60.142985924309379</v>
      </c>
      <c r="K10" s="56">
        <f t="shared" si="2"/>
        <v>13.627388386355252</v>
      </c>
      <c r="L10" s="56">
        <f t="shared" si="6"/>
        <v>73.770374310664636</v>
      </c>
      <c r="M10" s="56">
        <f t="shared" si="3"/>
        <v>13.198351710130328</v>
      </c>
      <c r="N10" s="56">
        <f t="shared" si="4"/>
        <v>13.031273979205036</v>
      </c>
      <c r="O10" s="66">
        <f t="shared" si="5"/>
        <v>12.009739296932175</v>
      </c>
      <c r="P10" s="53">
        <f>SUM(P6:P9)</f>
        <v>1829368</v>
      </c>
      <c r="Q10" s="53">
        <f>SUM(Q6:Q9)</f>
        <v>243825.88235294117</v>
      </c>
      <c r="R10" s="53">
        <f>SUM(R6:R9)</f>
        <v>446060</v>
      </c>
      <c r="S10" s="53">
        <f>SUM(S6:S9)</f>
        <v>495465</v>
      </c>
      <c r="T10" s="54">
        <f>SUM(T6:T9)</f>
        <v>3014718.8823529407</v>
      </c>
      <c r="U10" s="57"/>
      <c r="V10" s="55">
        <f>SUM(V6:V9)</f>
        <v>2649418.8823529407</v>
      </c>
      <c r="W10" s="58">
        <f>SUM(W6:W9)</f>
        <v>365300</v>
      </c>
      <c r="X10" s="59">
        <f>P10/T10*100</f>
        <v>60.681213452718588</v>
      </c>
      <c r="Y10" s="60">
        <f>Q10/T10*100</f>
        <v>8.0878480504503596</v>
      </c>
      <c r="Z10" s="60">
        <f>R10/T10*100</f>
        <v>14.796072781812983</v>
      </c>
      <c r="AA10" s="60">
        <f>S10/T10*100</f>
        <v>16.434865715018091</v>
      </c>
      <c r="AB10" s="61">
        <f>W10/T10*100</f>
        <v>12.117216040883024</v>
      </c>
    </row>
    <row r="11" spans="1:28" s="4" customFormat="1" ht="12.6" thickTop="1">
      <c r="A11" s="42" t="s">
        <v>9</v>
      </c>
      <c r="B11" s="50">
        <v>1991</v>
      </c>
      <c r="C11" s="12">
        <f>F11+G11+H11+I11</f>
        <v>293386</v>
      </c>
      <c r="D11" s="23">
        <f t="shared" si="0"/>
        <v>244890</v>
      </c>
      <c r="E11" s="20">
        <v>48496</v>
      </c>
      <c r="F11" s="15">
        <v>171825</v>
      </c>
      <c r="G11" s="15">
        <v>38959</v>
      </c>
      <c r="H11" s="15">
        <v>54825</v>
      </c>
      <c r="I11" s="72">
        <v>27777</v>
      </c>
      <c r="J11" s="40">
        <f t="shared" si="1"/>
        <v>58.566189252384227</v>
      </c>
      <c r="K11" s="40">
        <f t="shared" si="2"/>
        <v>13.279093071925722</v>
      </c>
      <c r="L11" s="76">
        <f t="shared" si="6"/>
        <v>71.845282324309949</v>
      </c>
      <c r="M11" s="40">
        <f t="shared" si="3"/>
        <v>18.686985745741104</v>
      </c>
      <c r="N11" s="40">
        <f t="shared" si="4"/>
        <v>9.4677319299489415</v>
      </c>
      <c r="O11" s="65">
        <f t="shared" si="5"/>
        <v>16.529759429556968</v>
      </c>
      <c r="P11" s="15">
        <f>F11*2</f>
        <v>343650</v>
      </c>
      <c r="Q11" s="15">
        <f>G11/0.85</f>
        <v>45834.117647058825</v>
      </c>
      <c r="R11" s="15">
        <f>H11/0.45</f>
        <v>121833.33333333333</v>
      </c>
      <c r="S11" s="15">
        <f>I11/0.4</f>
        <v>69442.5</v>
      </c>
      <c r="T11" s="12">
        <f>SUM(P11:S11)</f>
        <v>580759.95098039205</v>
      </c>
      <c r="U11" s="28"/>
      <c r="V11" s="23">
        <f>T11-W11</f>
        <v>483767.95098039205</v>
      </c>
      <c r="W11" s="20">
        <f>E11*2</f>
        <v>96992</v>
      </c>
      <c r="X11" s="15"/>
      <c r="Y11" s="34"/>
      <c r="Z11" s="34"/>
      <c r="AA11" s="34"/>
      <c r="AB11" s="45"/>
    </row>
    <row r="12" spans="1:28" s="4" customFormat="1">
      <c r="A12" s="42" t="s">
        <v>10</v>
      </c>
      <c r="B12" s="50">
        <v>1991</v>
      </c>
      <c r="C12" s="12">
        <f>F12+G12+H12+I12</f>
        <v>266181</v>
      </c>
      <c r="D12" s="23">
        <f t="shared" si="0"/>
        <v>235349</v>
      </c>
      <c r="E12" s="20">
        <v>30832</v>
      </c>
      <c r="F12" s="15">
        <v>174692</v>
      </c>
      <c r="G12" s="15">
        <v>35635</v>
      </c>
      <c r="H12" s="15">
        <v>33323</v>
      </c>
      <c r="I12" s="72">
        <v>22531</v>
      </c>
      <c r="J12" s="40">
        <f t="shared" si="1"/>
        <v>65.629026865178204</v>
      </c>
      <c r="K12" s="40">
        <f t="shared" si="2"/>
        <v>13.387506997118503</v>
      </c>
      <c r="L12" s="76">
        <f t="shared" si="6"/>
        <v>79.016533862296711</v>
      </c>
      <c r="M12" s="40">
        <f t="shared" si="3"/>
        <v>12.518925092324395</v>
      </c>
      <c r="N12" s="40">
        <f t="shared" si="4"/>
        <v>8.4645410453788976</v>
      </c>
      <c r="O12" s="65">
        <f t="shared" si="5"/>
        <v>11.583095713067424</v>
      </c>
      <c r="P12" s="15">
        <f>F12*2</f>
        <v>349384</v>
      </c>
      <c r="Q12" s="15">
        <f>G12/0.85</f>
        <v>41923.529411764706</v>
      </c>
      <c r="R12" s="15">
        <f>H12/0.45</f>
        <v>74051.111111111109</v>
      </c>
      <c r="S12" s="15">
        <f>I12/0.4</f>
        <v>56327.5</v>
      </c>
      <c r="T12" s="12">
        <f>SUM(P12:S12)</f>
        <v>521686.14052287582</v>
      </c>
      <c r="U12" s="28"/>
      <c r="V12" s="23">
        <f>T12-W12</f>
        <v>460022.14052287582</v>
      </c>
      <c r="W12" s="20">
        <f>E12*2</f>
        <v>61664</v>
      </c>
      <c r="X12" s="15"/>
      <c r="Y12" s="34"/>
      <c r="Z12" s="34"/>
      <c r="AA12" s="34"/>
      <c r="AB12" s="45"/>
    </row>
    <row r="13" spans="1:28" s="4" customFormat="1">
      <c r="A13" s="42" t="s">
        <v>11</v>
      </c>
      <c r="B13" s="50">
        <v>1991</v>
      </c>
      <c r="C13" s="12">
        <f>F13+G13+H13+I13</f>
        <v>643307</v>
      </c>
      <c r="D13" s="23">
        <f t="shared" si="0"/>
        <v>581743</v>
      </c>
      <c r="E13" s="20">
        <v>61564</v>
      </c>
      <c r="F13" s="15">
        <v>442867</v>
      </c>
      <c r="G13" s="15">
        <v>75199</v>
      </c>
      <c r="H13" s="15">
        <v>72529</v>
      </c>
      <c r="I13" s="72">
        <v>52712</v>
      </c>
      <c r="J13" s="40">
        <f t="shared" si="1"/>
        <v>68.842247946936681</v>
      </c>
      <c r="K13" s="40">
        <f t="shared" si="2"/>
        <v>11.689442210328817</v>
      </c>
      <c r="L13" s="76">
        <f t="shared" si="6"/>
        <v>80.531690157265501</v>
      </c>
      <c r="M13" s="40">
        <f t="shared" si="3"/>
        <v>11.274399314790605</v>
      </c>
      <c r="N13" s="40">
        <f t="shared" si="4"/>
        <v>8.1939105279438902</v>
      </c>
      <c r="O13" s="65">
        <f t="shared" si="5"/>
        <v>9.5699254010915471</v>
      </c>
      <c r="P13" s="15">
        <f>F13*2</f>
        <v>885734</v>
      </c>
      <c r="Q13" s="15">
        <f>G13/0.85</f>
        <v>88469.411764705888</v>
      </c>
      <c r="R13" s="15">
        <f>H13/0.45</f>
        <v>161175.55555555556</v>
      </c>
      <c r="S13" s="15">
        <f>I13/0.4</f>
        <v>131780</v>
      </c>
      <c r="T13" s="12">
        <f>SUM(P13:S13)</f>
        <v>1267158.9673202615</v>
      </c>
      <c r="U13" s="28"/>
      <c r="V13" s="23">
        <f>T13-W13</f>
        <v>1144030.9673202615</v>
      </c>
      <c r="W13" s="20">
        <f>E13*2</f>
        <v>123128</v>
      </c>
      <c r="X13" s="15"/>
      <c r="Y13" s="34"/>
      <c r="Z13" s="34"/>
      <c r="AA13" s="34"/>
      <c r="AB13" s="45"/>
    </row>
    <row r="14" spans="1:28" s="4" customFormat="1" ht="12.6" thickBot="1">
      <c r="A14" s="42" t="s">
        <v>12</v>
      </c>
      <c r="B14" s="50">
        <v>1991</v>
      </c>
      <c r="C14" s="5">
        <f>F14+G14+H14+I14</f>
        <v>338184</v>
      </c>
      <c r="D14" s="23">
        <f t="shared" si="0"/>
        <v>233535</v>
      </c>
      <c r="E14" s="20">
        <v>104649</v>
      </c>
      <c r="F14" s="14">
        <v>213768</v>
      </c>
      <c r="G14" s="14">
        <v>26151</v>
      </c>
      <c r="H14" s="14">
        <v>33391</v>
      </c>
      <c r="I14" s="73">
        <v>64874</v>
      </c>
      <c r="J14" s="40">
        <f t="shared" si="1"/>
        <v>63.210559931871401</v>
      </c>
      <c r="K14" s="40">
        <f t="shared" si="2"/>
        <v>7.7327726917890844</v>
      </c>
      <c r="L14" s="76">
        <f t="shared" si="6"/>
        <v>70.943332623660481</v>
      </c>
      <c r="M14" s="40">
        <f t="shared" si="3"/>
        <v>9.8736190949305698</v>
      </c>
      <c r="N14" s="40">
        <f t="shared" si="4"/>
        <v>19.183048281408936</v>
      </c>
      <c r="O14" s="65">
        <f t="shared" si="5"/>
        <v>30.944397132921726</v>
      </c>
      <c r="P14" s="14">
        <f>F14*2</f>
        <v>427536</v>
      </c>
      <c r="Q14" s="14">
        <f>G14/0.85</f>
        <v>30765.882352941178</v>
      </c>
      <c r="R14" s="14">
        <f>H14/0.45</f>
        <v>74202.222222222219</v>
      </c>
      <c r="S14" s="14">
        <f>I14/0.4</f>
        <v>162185</v>
      </c>
      <c r="T14" s="5">
        <f>SUM(P14:S14)</f>
        <v>694689.10457516345</v>
      </c>
      <c r="U14" s="29"/>
      <c r="V14" s="23">
        <f>T14-W14</f>
        <v>485391.10457516345</v>
      </c>
      <c r="W14" s="18">
        <f>E14*2</f>
        <v>209298</v>
      </c>
      <c r="X14" s="14"/>
      <c r="Y14" s="34"/>
      <c r="Z14" s="34"/>
      <c r="AA14" s="34"/>
      <c r="AB14" s="45"/>
    </row>
    <row r="15" spans="1:28" s="94" customFormat="1" ht="15.6" thickTop="1" thickBot="1">
      <c r="A15" s="69" t="s">
        <v>21</v>
      </c>
      <c r="B15" s="52">
        <v>1991</v>
      </c>
      <c r="C15" s="54">
        <f>SUM(C11:C14)</f>
        <v>1541058</v>
      </c>
      <c r="D15" s="55">
        <f t="shared" si="0"/>
        <v>1295517</v>
      </c>
      <c r="E15" s="58">
        <f>SUM(E11:E14)</f>
        <v>245541</v>
      </c>
      <c r="F15" s="53">
        <f>SUM(F11:F14)</f>
        <v>1003152</v>
      </c>
      <c r="G15" s="53">
        <f>SUM(G11:G14)</f>
        <v>175944</v>
      </c>
      <c r="H15" s="53">
        <f>SUM(H11:H14)</f>
        <v>194068</v>
      </c>
      <c r="I15" s="57">
        <f>SUM(I11:I14)</f>
        <v>167894</v>
      </c>
      <c r="J15" s="56">
        <f t="shared" si="1"/>
        <v>65.095019136203831</v>
      </c>
      <c r="K15" s="56">
        <f t="shared" si="2"/>
        <v>11.417091374886605</v>
      </c>
      <c r="L15" s="56">
        <f t="shared" si="6"/>
        <v>76.512110511090441</v>
      </c>
      <c r="M15" s="56">
        <f t="shared" si="3"/>
        <v>12.59316651287622</v>
      </c>
      <c r="N15" s="56">
        <f t="shared" si="4"/>
        <v>10.894722976033348</v>
      </c>
      <c r="O15" s="66">
        <f t="shared" si="5"/>
        <v>15.933274412773562</v>
      </c>
      <c r="P15" s="53">
        <f>SUM(P11:P14)</f>
        <v>2006304</v>
      </c>
      <c r="Q15" s="53">
        <f>SUM(Q11:Q14)</f>
        <v>206992.94117647057</v>
      </c>
      <c r="R15" s="53">
        <f>SUM(R11:R14)</f>
        <v>431262.22222222225</v>
      </c>
      <c r="S15" s="53">
        <f>SUM(S11:S14)</f>
        <v>419735</v>
      </c>
      <c r="T15" s="54">
        <f>SUM(T11:T14)</f>
        <v>3064294.1633986933</v>
      </c>
      <c r="U15" s="57"/>
      <c r="V15" s="55">
        <f>SUM(V11:V14)</f>
        <v>2573212.1633986929</v>
      </c>
      <c r="W15" s="58">
        <f>SUM(W11:W14)</f>
        <v>491082</v>
      </c>
      <c r="X15" s="59">
        <f>P15/T15*100</f>
        <v>65.473609680304094</v>
      </c>
      <c r="Y15" s="60">
        <f>Q15/T15*100</f>
        <v>6.7549957719101288</v>
      </c>
      <c r="Z15" s="60">
        <f>R15/T15*100</f>
        <v>14.073786628366561</v>
      </c>
      <c r="AA15" s="60">
        <f>S15/T15*100</f>
        <v>13.697607919419209</v>
      </c>
      <c r="AB15" s="61">
        <f>W15/T15*100</f>
        <v>16.025941825876384</v>
      </c>
    </row>
    <row r="16" spans="1:28" s="4" customFormat="1" ht="12.6" thickTop="1">
      <c r="A16" s="42" t="s">
        <v>9</v>
      </c>
      <c r="B16" s="50">
        <v>1992</v>
      </c>
      <c r="C16" s="12">
        <f>F16+G16+H16+I16</f>
        <v>307928</v>
      </c>
      <c r="D16" s="23">
        <f t="shared" si="0"/>
        <v>228534</v>
      </c>
      <c r="E16" s="20">
        <v>79394</v>
      </c>
      <c r="F16" s="14">
        <v>208624</v>
      </c>
      <c r="G16" s="14">
        <v>34653</v>
      </c>
      <c r="H16" s="14">
        <v>41293</v>
      </c>
      <c r="I16" s="73">
        <v>23358</v>
      </c>
      <c r="J16" s="40">
        <f t="shared" si="1"/>
        <v>67.750902808448728</v>
      </c>
      <c r="K16" s="40">
        <f t="shared" si="2"/>
        <v>11.253604738770102</v>
      </c>
      <c r="L16" s="76">
        <f t="shared" si="6"/>
        <v>79.004507547218836</v>
      </c>
      <c r="M16" s="40">
        <f t="shared" si="3"/>
        <v>13.409952976020367</v>
      </c>
      <c r="N16" s="40">
        <f t="shared" si="4"/>
        <v>7.5855394767608013</v>
      </c>
      <c r="O16" s="65">
        <f t="shared" si="5"/>
        <v>25.783299992205972</v>
      </c>
      <c r="P16" s="15">
        <f>F16*2</f>
        <v>417248</v>
      </c>
      <c r="Q16" s="15">
        <f t="shared" ref="Q16:Q29" si="7">G16/0.85</f>
        <v>40768.23529411765</v>
      </c>
      <c r="R16" s="15">
        <f t="shared" ref="R16:R29" si="8">H16/0.45</f>
        <v>91762.222222222219</v>
      </c>
      <c r="S16" s="15">
        <f t="shared" ref="S16:S29" si="9">I16/0.4</f>
        <v>58395</v>
      </c>
      <c r="T16" s="12">
        <f t="shared" ref="T16:T29" si="10">SUM(P16:S16)</f>
        <v>608173.45751633984</v>
      </c>
      <c r="U16" s="28"/>
      <c r="V16" s="23">
        <f t="shared" ref="V16:V29" si="11">T16-W16</f>
        <v>449385.45751633984</v>
      </c>
      <c r="W16" s="20">
        <f t="shared" ref="W16:W29" si="12">E16*2</f>
        <v>158788</v>
      </c>
      <c r="X16" s="15"/>
      <c r="Y16" s="34"/>
      <c r="Z16" s="34"/>
      <c r="AA16" s="34"/>
      <c r="AB16" s="45"/>
    </row>
    <row r="17" spans="1:28" s="4" customFormat="1">
      <c r="A17" s="42" t="s">
        <v>10</v>
      </c>
      <c r="B17" s="50">
        <v>1992</v>
      </c>
      <c r="C17" s="12">
        <f>F17+G17+H17+I17</f>
        <v>247415</v>
      </c>
      <c r="D17" s="23">
        <f t="shared" si="0"/>
        <v>211090</v>
      </c>
      <c r="E17" s="20">
        <v>36325</v>
      </c>
      <c r="F17" s="14">
        <v>173741</v>
      </c>
      <c r="G17" s="14">
        <v>23071</v>
      </c>
      <c r="H17" s="14">
        <v>24449</v>
      </c>
      <c r="I17" s="73">
        <v>26154</v>
      </c>
      <c r="J17" s="40">
        <f t="shared" si="1"/>
        <v>70.222500656791226</v>
      </c>
      <c r="K17" s="40">
        <f t="shared" si="2"/>
        <v>9.3248186245781373</v>
      </c>
      <c r="L17" s="76">
        <f t="shared" si="6"/>
        <v>79.547319281369369</v>
      </c>
      <c r="M17" s="40">
        <f t="shared" si="3"/>
        <v>9.8817775801790511</v>
      </c>
      <c r="N17" s="40">
        <f t="shared" si="4"/>
        <v>10.570903138451589</v>
      </c>
      <c r="O17" s="65">
        <f t="shared" si="5"/>
        <v>14.681809914516098</v>
      </c>
      <c r="P17" s="15">
        <f>F17*2</f>
        <v>347482</v>
      </c>
      <c r="Q17" s="15">
        <f t="shared" si="7"/>
        <v>27142.352941176472</v>
      </c>
      <c r="R17" s="15">
        <f t="shared" si="8"/>
        <v>54331.111111111109</v>
      </c>
      <c r="S17" s="15">
        <f t="shared" si="9"/>
        <v>65385</v>
      </c>
      <c r="T17" s="12">
        <f t="shared" si="10"/>
        <v>494340.46405228757</v>
      </c>
      <c r="U17" s="28"/>
      <c r="V17" s="23">
        <f t="shared" si="11"/>
        <v>421690.46405228757</v>
      </c>
      <c r="W17" s="20">
        <f t="shared" si="12"/>
        <v>72650</v>
      </c>
      <c r="X17" s="15"/>
      <c r="Y17" s="34"/>
      <c r="Z17" s="34"/>
      <c r="AA17" s="34"/>
      <c r="AB17" s="45"/>
    </row>
    <row r="18" spans="1:28" s="4" customFormat="1">
      <c r="A18" s="42" t="s">
        <v>11</v>
      </c>
      <c r="B18" s="50">
        <v>1992</v>
      </c>
      <c r="C18" s="12">
        <f>F18+G18+H18+I18</f>
        <v>587621</v>
      </c>
      <c r="D18" s="23">
        <f t="shared" si="0"/>
        <v>558248</v>
      </c>
      <c r="E18" s="20">
        <v>29373</v>
      </c>
      <c r="F18" s="14">
        <v>391992</v>
      </c>
      <c r="G18" s="14">
        <v>62688</v>
      </c>
      <c r="H18" s="14">
        <v>59260</v>
      </c>
      <c r="I18" s="73">
        <v>73681</v>
      </c>
      <c r="J18" s="40">
        <f t="shared" si="1"/>
        <v>66.708303481325544</v>
      </c>
      <c r="K18" s="40">
        <f t="shared" si="2"/>
        <v>10.668100697558462</v>
      </c>
      <c r="L18" s="76">
        <f t="shared" si="6"/>
        <v>77.376404178884002</v>
      </c>
      <c r="M18" s="40">
        <f t="shared" si="3"/>
        <v>10.084731485089879</v>
      </c>
      <c r="N18" s="40">
        <f t="shared" si="4"/>
        <v>12.538864336026112</v>
      </c>
      <c r="O18" s="65">
        <f t="shared" si="5"/>
        <v>4.9986300693814556</v>
      </c>
      <c r="P18" s="15">
        <f>F18*2</f>
        <v>783984</v>
      </c>
      <c r="Q18" s="15">
        <f t="shared" si="7"/>
        <v>73750.588235294126</v>
      </c>
      <c r="R18" s="15">
        <f t="shared" si="8"/>
        <v>131688.88888888888</v>
      </c>
      <c r="S18" s="15">
        <f t="shared" si="9"/>
        <v>184202.5</v>
      </c>
      <c r="T18" s="12">
        <f t="shared" si="10"/>
        <v>1173625.977124183</v>
      </c>
      <c r="U18" s="28"/>
      <c r="V18" s="23">
        <f t="shared" si="11"/>
        <v>1114879.977124183</v>
      </c>
      <c r="W18" s="20">
        <f t="shared" si="12"/>
        <v>58746</v>
      </c>
      <c r="X18" s="15"/>
      <c r="Y18" s="34"/>
      <c r="Z18" s="34"/>
      <c r="AA18" s="34"/>
      <c r="AB18" s="45"/>
    </row>
    <row r="19" spans="1:28" s="4" customFormat="1" ht="12.6" thickBot="1">
      <c r="A19" s="42" t="s">
        <v>12</v>
      </c>
      <c r="B19" s="50">
        <v>1992</v>
      </c>
      <c r="C19" s="5">
        <f>F19+G19+H19+I19</f>
        <v>277065</v>
      </c>
      <c r="D19" s="23">
        <f t="shared" si="0"/>
        <v>184047</v>
      </c>
      <c r="E19" s="20">
        <v>93018</v>
      </c>
      <c r="F19" s="14">
        <v>160887</v>
      </c>
      <c r="G19" s="14">
        <v>21820</v>
      </c>
      <c r="H19" s="14">
        <v>16729</v>
      </c>
      <c r="I19" s="73">
        <v>77629</v>
      </c>
      <c r="J19" s="40">
        <f t="shared" si="1"/>
        <v>58.068323317633045</v>
      </c>
      <c r="K19" s="40">
        <f t="shared" si="2"/>
        <v>7.8754082976918767</v>
      </c>
      <c r="L19" s="76">
        <f t="shared" si="6"/>
        <v>65.943731615324921</v>
      </c>
      <c r="M19" s="40">
        <f t="shared" si="3"/>
        <v>6.0379333369425945</v>
      </c>
      <c r="N19" s="40">
        <f t="shared" si="4"/>
        <v>28.018335047732478</v>
      </c>
      <c r="O19" s="65">
        <f t="shared" si="5"/>
        <v>33.572627361810405</v>
      </c>
      <c r="P19" s="14">
        <f>F19*2</f>
        <v>321774</v>
      </c>
      <c r="Q19" s="14">
        <f t="shared" si="7"/>
        <v>25670.588235294119</v>
      </c>
      <c r="R19" s="14">
        <f t="shared" si="8"/>
        <v>37175.555555555555</v>
      </c>
      <c r="S19" s="14">
        <f t="shared" si="9"/>
        <v>194072.5</v>
      </c>
      <c r="T19" s="5">
        <f t="shared" si="10"/>
        <v>578692.64379084972</v>
      </c>
      <c r="U19" s="29"/>
      <c r="V19" s="23">
        <f t="shared" si="11"/>
        <v>392656.64379084972</v>
      </c>
      <c r="W19" s="18">
        <f t="shared" si="12"/>
        <v>186036</v>
      </c>
      <c r="X19" s="14"/>
      <c r="Y19" s="34"/>
      <c r="Z19" s="34"/>
      <c r="AA19" s="34"/>
      <c r="AB19" s="45"/>
    </row>
    <row r="20" spans="1:28" s="94" customFormat="1" ht="15.6" thickTop="1" thickBot="1">
      <c r="A20" s="69" t="s">
        <v>21</v>
      </c>
      <c r="B20" s="52">
        <v>1992</v>
      </c>
      <c r="C20" s="54">
        <f>SUM(C16:C19)</f>
        <v>1420029</v>
      </c>
      <c r="D20" s="55">
        <f t="shared" si="0"/>
        <v>1181919</v>
      </c>
      <c r="E20" s="58">
        <f>SUM(E16:E19)</f>
        <v>238110</v>
      </c>
      <c r="F20" s="53">
        <f>SUM(F16:F19)</f>
        <v>935244</v>
      </c>
      <c r="G20" s="53">
        <f>SUM(G16:G19)</f>
        <v>142232</v>
      </c>
      <c r="H20" s="53">
        <f>SUM(H16:H19)</f>
        <v>141731</v>
      </c>
      <c r="I20" s="57">
        <f>SUM(I16:I19)</f>
        <v>200822</v>
      </c>
      <c r="J20" s="56">
        <f t="shared" si="1"/>
        <v>65.860908474404397</v>
      </c>
      <c r="K20" s="56">
        <f t="shared" si="2"/>
        <v>10.016133473330473</v>
      </c>
      <c r="L20" s="56">
        <f t="shared" si="6"/>
        <v>75.877041947734867</v>
      </c>
      <c r="M20" s="56">
        <f t="shared" si="3"/>
        <v>9.9808525037164735</v>
      </c>
      <c r="N20" s="56">
        <f t="shared" si="4"/>
        <v>14.142105548548656</v>
      </c>
      <c r="O20" s="66">
        <f t="shared" si="5"/>
        <v>16.767967414749979</v>
      </c>
      <c r="P20" s="53">
        <f>SUM(P16:P19)</f>
        <v>1870488</v>
      </c>
      <c r="Q20" s="53">
        <f>SUM(Q16:Q19)</f>
        <v>167331.76470588238</v>
      </c>
      <c r="R20" s="53">
        <f>SUM(R16:R19)</f>
        <v>314957.77777777775</v>
      </c>
      <c r="S20" s="53">
        <f>SUM(S16:S19)</f>
        <v>502055</v>
      </c>
      <c r="T20" s="54">
        <f>SUM(T16:T19)</f>
        <v>2854832.5424836604</v>
      </c>
      <c r="U20" s="57"/>
      <c r="V20" s="55">
        <f>SUM(V16:V19)</f>
        <v>2378612.5424836604</v>
      </c>
      <c r="W20" s="58">
        <f>SUM(W16:W19)</f>
        <v>476220</v>
      </c>
      <c r="X20" s="59">
        <f>P20/T20*100</f>
        <v>65.520060184430434</v>
      </c>
      <c r="Y20" s="60">
        <f>Q20/T20*100</f>
        <v>5.8613513127570807</v>
      </c>
      <c r="Z20" s="60">
        <f>R20/T20*100</f>
        <v>11.032443167534071</v>
      </c>
      <c r="AA20" s="60">
        <f>S20/T20*100</f>
        <v>17.586145335278399</v>
      </c>
      <c r="AB20" s="61">
        <f>W20/T20*100</f>
        <v>16.681188578076664</v>
      </c>
    </row>
    <row r="21" spans="1:28" s="11" customFormat="1" ht="12.6" thickTop="1">
      <c r="A21" s="42" t="s">
        <v>9</v>
      </c>
      <c r="B21" s="68">
        <v>1993</v>
      </c>
      <c r="C21" s="12">
        <f>F21+G21+H21+I21</f>
        <v>362454</v>
      </c>
      <c r="D21" s="23">
        <f t="shared" si="0"/>
        <v>313659</v>
      </c>
      <c r="E21" s="93">
        <v>48795</v>
      </c>
      <c r="F21" s="91">
        <v>221172</v>
      </c>
      <c r="G21" s="91">
        <v>40799</v>
      </c>
      <c r="H21" s="91">
        <v>57499</v>
      </c>
      <c r="I21" s="92">
        <v>42984</v>
      </c>
      <c r="J21" s="40">
        <f t="shared" si="1"/>
        <v>61.020708834776272</v>
      </c>
      <c r="K21" s="40">
        <f t="shared" si="2"/>
        <v>11.256324940544179</v>
      </c>
      <c r="L21" s="76">
        <f t="shared" si="6"/>
        <v>72.277033775320447</v>
      </c>
      <c r="M21" s="40">
        <f t="shared" si="3"/>
        <v>15.863806165747929</v>
      </c>
      <c r="N21" s="40">
        <f t="shared" si="4"/>
        <v>11.859160058931616</v>
      </c>
      <c r="O21" s="65">
        <f t="shared" si="5"/>
        <v>13.462397987054908</v>
      </c>
      <c r="P21" s="15">
        <f>F21*2</f>
        <v>442344</v>
      </c>
      <c r="Q21" s="15">
        <f t="shared" si="7"/>
        <v>47998.823529411769</v>
      </c>
      <c r="R21" s="15">
        <f t="shared" si="8"/>
        <v>127775.55555555555</v>
      </c>
      <c r="S21" s="15">
        <f t="shared" si="9"/>
        <v>107460</v>
      </c>
      <c r="T21" s="12">
        <f t="shared" si="10"/>
        <v>725578.37908496731</v>
      </c>
      <c r="U21" s="28"/>
      <c r="V21" s="23">
        <f t="shared" si="11"/>
        <v>627988.37908496731</v>
      </c>
      <c r="W21" s="20">
        <f t="shared" si="12"/>
        <v>97590</v>
      </c>
      <c r="X21" s="32"/>
      <c r="Y21" s="34"/>
      <c r="Z21" s="34"/>
      <c r="AA21" s="34"/>
      <c r="AB21" s="45"/>
    </row>
    <row r="22" spans="1:28" s="11" customFormat="1">
      <c r="A22" s="42" t="s">
        <v>10</v>
      </c>
      <c r="B22" s="68">
        <v>1993</v>
      </c>
      <c r="C22" s="12">
        <f>F22+G22+H22+I22</f>
        <v>300044</v>
      </c>
      <c r="D22" s="23">
        <f t="shared" si="0"/>
        <v>274143</v>
      </c>
      <c r="E22" s="93">
        <v>25901</v>
      </c>
      <c r="F22" s="91">
        <v>212299</v>
      </c>
      <c r="G22" s="91">
        <v>24102</v>
      </c>
      <c r="H22" s="91">
        <v>21215</v>
      </c>
      <c r="I22" s="92">
        <v>42428</v>
      </c>
      <c r="J22" s="40">
        <f t="shared" si="1"/>
        <v>70.755955793150335</v>
      </c>
      <c r="K22" s="40">
        <f t="shared" si="2"/>
        <v>8.0328218527949229</v>
      </c>
      <c r="L22" s="76">
        <f t="shared" si="6"/>
        <v>78.78877764594526</v>
      </c>
      <c r="M22" s="40">
        <f t="shared" si="3"/>
        <v>7.0706296409859881</v>
      </c>
      <c r="N22" s="40">
        <f t="shared" si="4"/>
        <v>14.140592713068751</v>
      </c>
      <c r="O22" s="65">
        <f t="shared" si="5"/>
        <v>8.6324005812480848</v>
      </c>
      <c r="P22" s="15">
        <f>F22*2</f>
        <v>424598</v>
      </c>
      <c r="Q22" s="15">
        <f t="shared" si="7"/>
        <v>28355.294117647059</v>
      </c>
      <c r="R22" s="15">
        <f t="shared" si="8"/>
        <v>47144.444444444445</v>
      </c>
      <c r="S22" s="15">
        <f t="shared" si="9"/>
        <v>106070</v>
      </c>
      <c r="T22" s="12">
        <f t="shared" si="10"/>
        <v>606167.73856209149</v>
      </c>
      <c r="U22" s="28"/>
      <c r="V22" s="23">
        <f t="shared" si="11"/>
        <v>554365.73856209149</v>
      </c>
      <c r="W22" s="20">
        <f t="shared" si="12"/>
        <v>51802</v>
      </c>
      <c r="X22" s="32"/>
      <c r="Y22" s="34"/>
      <c r="Z22" s="34"/>
      <c r="AA22" s="34"/>
      <c r="AB22" s="45"/>
    </row>
    <row r="23" spans="1:28" s="11" customFormat="1">
      <c r="A23" s="42" t="s">
        <v>11</v>
      </c>
      <c r="B23" s="68">
        <v>1993</v>
      </c>
      <c r="C23" s="12">
        <f>F23+G23+H23+I23</f>
        <v>621300</v>
      </c>
      <c r="D23" s="23">
        <f t="shared" si="0"/>
        <v>583055</v>
      </c>
      <c r="E23" s="93">
        <v>38245</v>
      </c>
      <c r="F23" s="91">
        <v>455948</v>
      </c>
      <c r="G23" s="91">
        <v>50035</v>
      </c>
      <c r="H23" s="91">
        <v>53221</v>
      </c>
      <c r="I23" s="92">
        <v>62096</v>
      </c>
      <c r="J23" s="40">
        <f t="shared" si="1"/>
        <v>73.386125865121528</v>
      </c>
      <c r="K23" s="40">
        <f t="shared" si="2"/>
        <v>8.05327539031064</v>
      </c>
      <c r="L23" s="76">
        <f t="shared" si="6"/>
        <v>81.439401255432173</v>
      </c>
      <c r="M23" s="40">
        <f t="shared" si="3"/>
        <v>8.5660711411556409</v>
      </c>
      <c r="N23" s="40">
        <f t="shared" si="4"/>
        <v>9.9945276034121999</v>
      </c>
      <c r="O23" s="65">
        <f t="shared" si="5"/>
        <v>6.1556413970706583</v>
      </c>
      <c r="P23" s="15">
        <f>F23*2</f>
        <v>911896</v>
      </c>
      <c r="Q23" s="15">
        <f t="shared" si="7"/>
        <v>58864.705882352944</v>
      </c>
      <c r="R23" s="15">
        <f t="shared" si="8"/>
        <v>118268.88888888889</v>
      </c>
      <c r="S23" s="15">
        <f t="shared" si="9"/>
        <v>155240</v>
      </c>
      <c r="T23" s="12">
        <f t="shared" si="10"/>
        <v>1244269.5947712418</v>
      </c>
      <c r="U23" s="28"/>
      <c r="V23" s="23">
        <f t="shared" si="11"/>
        <v>1167779.5947712418</v>
      </c>
      <c r="W23" s="20">
        <f t="shared" si="12"/>
        <v>76490</v>
      </c>
      <c r="X23" s="32"/>
      <c r="Y23" s="34"/>
      <c r="Z23" s="34"/>
      <c r="AA23" s="34"/>
      <c r="AB23" s="45"/>
    </row>
    <row r="24" spans="1:28" s="11" customFormat="1" ht="12.6" thickBot="1">
      <c r="A24" s="42" t="s">
        <v>12</v>
      </c>
      <c r="B24" s="68">
        <v>1993</v>
      </c>
      <c r="C24" s="5">
        <f>F24+G24+H24+I24</f>
        <v>320719</v>
      </c>
      <c r="D24" s="23">
        <f t="shared" si="0"/>
        <v>226586</v>
      </c>
      <c r="E24" s="93">
        <v>94133</v>
      </c>
      <c r="F24" s="91">
        <v>202929</v>
      </c>
      <c r="G24" s="91">
        <v>19092</v>
      </c>
      <c r="H24" s="91">
        <v>13161</v>
      </c>
      <c r="I24" s="92">
        <v>85537</v>
      </c>
      <c r="J24" s="40">
        <f t="shared" si="1"/>
        <v>63.273145650865715</v>
      </c>
      <c r="K24" s="40">
        <f t="shared" si="2"/>
        <v>5.9528746348049228</v>
      </c>
      <c r="L24" s="76">
        <f t="shared" si="6"/>
        <v>69.226020285670643</v>
      </c>
      <c r="M24" s="40">
        <f t="shared" si="3"/>
        <v>4.1035922411830921</v>
      </c>
      <c r="N24" s="40">
        <f t="shared" si="4"/>
        <v>26.670387473146274</v>
      </c>
      <c r="O24" s="65">
        <f t="shared" si="5"/>
        <v>29.350615336166552</v>
      </c>
      <c r="P24" s="14">
        <f>F24*2</f>
        <v>405858</v>
      </c>
      <c r="Q24" s="14">
        <f t="shared" si="7"/>
        <v>22461.176470588234</v>
      </c>
      <c r="R24" s="14">
        <f t="shared" si="8"/>
        <v>29246.666666666664</v>
      </c>
      <c r="S24" s="14">
        <f t="shared" si="9"/>
        <v>213842.5</v>
      </c>
      <c r="T24" s="5">
        <f t="shared" si="10"/>
        <v>671408.34313725494</v>
      </c>
      <c r="U24" s="29"/>
      <c r="V24" s="23">
        <f t="shared" si="11"/>
        <v>483142.34313725494</v>
      </c>
      <c r="W24" s="18">
        <f t="shared" si="12"/>
        <v>188266</v>
      </c>
      <c r="X24" s="32"/>
      <c r="Y24" s="34"/>
      <c r="Z24" s="34"/>
      <c r="AA24" s="34"/>
      <c r="AB24" s="45"/>
    </row>
    <row r="25" spans="1:28" s="94" customFormat="1" ht="15.6" thickTop="1" thickBot="1">
      <c r="A25" s="69" t="s">
        <v>21</v>
      </c>
      <c r="B25" s="95">
        <v>1993</v>
      </c>
      <c r="C25" s="54">
        <f>SUM(C21:C24)</f>
        <v>1604517</v>
      </c>
      <c r="D25" s="55">
        <f t="shared" si="0"/>
        <v>1397443</v>
      </c>
      <c r="E25" s="58">
        <f>SUM(E21:E24)</f>
        <v>207074</v>
      </c>
      <c r="F25" s="53">
        <f>SUM(F21:F24)</f>
        <v>1092348</v>
      </c>
      <c r="G25" s="53">
        <f>SUM(G21:G24)</f>
        <v>134028</v>
      </c>
      <c r="H25" s="53">
        <f>SUM(H21:H24)</f>
        <v>145096</v>
      </c>
      <c r="I25" s="57">
        <f>SUM(I21:I24)</f>
        <v>233045</v>
      </c>
      <c r="J25" s="56">
        <f t="shared" si="1"/>
        <v>68.079552912184795</v>
      </c>
      <c r="K25" s="56">
        <f t="shared" si="2"/>
        <v>8.3531679626953146</v>
      </c>
      <c r="L25" s="56">
        <f t="shared" si="6"/>
        <v>76.432720874880104</v>
      </c>
      <c r="M25" s="56">
        <f t="shared" si="3"/>
        <v>9.0429705637272768</v>
      </c>
      <c r="N25" s="56">
        <f t="shared" si="4"/>
        <v>14.524308561392619</v>
      </c>
      <c r="O25" s="66">
        <f t="shared" si="5"/>
        <v>12.905690622162307</v>
      </c>
      <c r="P25" s="53">
        <f>SUM(P21:P24)</f>
        <v>2184696</v>
      </c>
      <c r="Q25" s="53">
        <f>SUM(Q21:Q24)</f>
        <v>157680</v>
      </c>
      <c r="R25" s="53">
        <f>SUM(R21:R24)</f>
        <v>322435.55555555556</v>
      </c>
      <c r="S25" s="53">
        <f>SUM(S21:S24)</f>
        <v>582612.5</v>
      </c>
      <c r="T25" s="54">
        <f>SUM(T21:T24)</f>
        <v>3247424.0555555555</v>
      </c>
      <c r="U25" s="57"/>
      <c r="V25" s="55">
        <f>SUM(V21:V24)</f>
        <v>2833276.0555555555</v>
      </c>
      <c r="W25" s="58">
        <f>SUM(W21:W24)</f>
        <v>414148</v>
      </c>
      <c r="X25" s="59">
        <f>P25/T25*100</f>
        <v>67.274737226341429</v>
      </c>
      <c r="Y25" s="60">
        <f>Q25/T25*100</f>
        <v>4.8555408010311352</v>
      </c>
      <c r="Z25" s="60">
        <f>R25/T25*100</f>
        <v>9.9289636967474735</v>
      </c>
      <c r="AA25" s="60">
        <f>S25/T25*100</f>
        <v>17.940758275879961</v>
      </c>
      <c r="AB25" s="61">
        <f>W25/T25*100</f>
        <v>12.753123488492152</v>
      </c>
    </row>
    <row r="26" spans="1:28" s="11" customFormat="1" ht="12.6" thickTop="1">
      <c r="A26" s="42" t="s">
        <v>9</v>
      </c>
      <c r="B26" s="68">
        <v>1994</v>
      </c>
      <c r="C26" s="12">
        <f>F26+G26+H26+I26</f>
        <v>243961</v>
      </c>
      <c r="D26" s="23">
        <f t="shared" si="0"/>
        <v>176211</v>
      </c>
      <c r="E26" s="93">
        <v>67750</v>
      </c>
      <c r="F26" s="91">
        <v>178317</v>
      </c>
      <c r="G26" s="91">
        <v>23069</v>
      </c>
      <c r="H26" s="91">
        <v>21102</v>
      </c>
      <c r="I26" s="92">
        <v>21473</v>
      </c>
      <c r="J26" s="40">
        <f t="shared" si="1"/>
        <v>73.092420509835591</v>
      </c>
      <c r="K26" s="40">
        <f t="shared" si="2"/>
        <v>9.4560196096917117</v>
      </c>
      <c r="L26" s="76">
        <f t="shared" si="6"/>
        <v>82.548440119527299</v>
      </c>
      <c r="M26" s="40">
        <f t="shared" si="3"/>
        <v>8.6497431966584823</v>
      </c>
      <c r="N26" s="40">
        <f t="shared" si="4"/>
        <v>8.8018166838142164</v>
      </c>
      <c r="O26" s="65">
        <f t="shared" si="5"/>
        <v>27.770832223183213</v>
      </c>
      <c r="P26" s="15">
        <f>F26*2</f>
        <v>356634</v>
      </c>
      <c r="Q26" s="15">
        <f t="shared" si="7"/>
        <v>27140</v>
      </c>
      <c r="R26" s="15">
        <f t="shared" si="8"/>
        <v>46893.333333333336</v>
      </c>
      <c r="S26" s="15">
        <f t="shared" si="9"/>
        <v>53682.5</v>
      </c>
      <c r="T26" s="12">
        <f t="shared" si="10"/>
        <v>484349.83333333331</v>
      </c>
      <c r="U26" s="28"/>
      <c r="V26" s="23">
        <f t="shared" si="11"/>
        <v>348849.83333333331</v>
      </c>
      <c r="W26" s="20">
        <f t="shared" si="12"/>
        <v>135500</v>
      </c>
      <c r="X26" s="32"/>
      <c r="Y26" s="34"/>
      <c r="Z26" s="34"/>
      <c r="AA26" s="34"/>
      <c r="AB26" s="45"/>
    </row>
    <row r="27" spans="1:28" s="11" customFormat="1">
      <c r="A27" s="42" t="s">
        <v>10</v>
      </c>
      <c r="B27" s="68">
        <v>1994</v>
      </c>
      <c r="C27" s="12">
        <f>F27+G27+H27+I27</f>
        <v>335252</v>
      </c>
      <c r="D27" s="23">
        <f t="shared" si="0"/>
        <v>305991</v>
      </c>
      <c r="E27" s="93">
        <v>29261</v>
      </c>
      <c r="F27" s="91">
        <v>243619</v>
      </c>
      <c r="G27" s="91">
        <v>26753</v>
      </c>
      <c r="H27" s="91">
        <v>29629</v>
      </c>
      <c r="I27" s="92">
        <v>35251</v>
      </c>
      <c r="J27" s="40">
        <f t="shared" si="1"/>
        <v>72.667426294250291</v>
      </c>
      <c r="K27" s="40">
        <f t="shared" si="2"/>
        <v>7.9799673081741487</v>
      </c>
      <c r="L27" s="76">
        <f t="shared" si="6"/>
        <v>80.647393602424444</v>
      </c>
      <c r="M27" s="40">
        <f t="shared" si="3"/>
        <v>8.8378294536647051</v>
      </c>
      <c r="N27" s="40">
        <f t="shared" si="4"/>
        <v>10.514776943910849</v>
      </c>
      <c r="O27" s="65">
        <f t="shared" si="5"/>
        <v>8.7280612792764849</v>
      </c>
      <c r="P27" s="15">
        <f>F27*2</f>
        <v>487238</v>
      </c>
      <c r="Q27" s="15">
        <f t="shared" si="7"/>
        <v>31474.117647058825</v>
      </c>
      <c r="R27" s="15">
        <f t="shared" si="8"/>
        <v>65842.222222222219</v>
      </c>
      <c r="S27" s="15">
        <f t="shared" si="9"/>
        <v>88127.5</v>
      </c>
      <c r="T27" s="12">
        <f t="shared" si="10"/>
        <v>672681.83986928104</v>
      </c>
      <c r="U27" s="28"/>
      <c r="V27" s="23">
        <f t="shared" si="11"/>
        <v>614159.83986928104</v>
      </c>
      <c r="W27" s="20">
        <f t="shared" si="12"/>
        <v>58522</v>
      </c>
      <c r="X27" s="32"/>
      <c r="Y27" s="34"/>
      <c r="Z27" s="34"/>
      <c r="AA27" s="34"/>
      <c r="AB27" s="45"/>
    </row>
    <row r="28" spans="1:28" s="11" customFormat="1">
      <c r="A28" s="42" t="s">
        <v>11</v>
      </c>
      <c r="B28" s="68">
        <v>1994</v>
      </c>
      <c r="C28" s="12">
        <f>F28+G28+H28+I28</f>
        <v>828178</v>
      </c>
      <c r="D28" s="23">
        <f t="shared" si="0"/>
        <v>781496</v>
      </c>
      <c r="E28" s="93">
        <v>46682</v>
      </c>
      <c r="F28" s="91">
        <v>632059</v>
      </c>
      <c r="G28" s="91">
        <v>58109</v>
      </c>
      <c r="H28" s="91">
        <v>58908</v>
      </c>
      <c r="I28" s="92">
        <v>79102</v>
      </c>
      <c r="J28" s="40">
        <f t="shared" si="1"/>
        <v>76.319221230218631</v>
      </c>
      <c r="K28" s="40">
        <f t="shared" si="2"/>
        <v>7.0164867939017936</v>
      </c>
      <c r="L28" s="76">
        <f t="shared" si="6"/>
        <v>83.335708024120422</v>
      </c>
      <c r="M28" s="40">
        <f t="shared" si="3"/>
        <v>7.1129636382516805</v>
      </c>
      <c r="N28" s="40">
        <f t="shared" si="4"/>
        <v>9.5513283376279006</v>
      </c>
      <c r="O28" s="65">
        <f t="shared" si="5"/>
        <v>5.6367109486124969</v>
      </c>
      <c r="P28" s="15">
        <f>F28*2</f>
        <v>1264118</v>
      </c>
      <c r="Q28" s="15">
        <f t="shared" si="7"/>
        <v>68363.529411764714</v>
      </c>
      <c r="R28" s="15">
        <f t="shared" si="8"/>
        <v>130906.66666666666</v>
      </c>
      <c r="S28" s="15">
        <f t="shared" si="9"/>
        <v>197755</v>
      </c>
      <c r="T28" s="12">
        <f t="shared" si="10"/>
        <v>1661143.1960784316</v>
      </c>
      <c r="U28" s="28"/>
      <c r="V28" s="23">
        <f t="shared" si="11"/>
        <v>1567779.1960784316</v>
      </c>
      <c r="W28" s="20">
        <f t="shared" si="12"/>
        <v>93364</v>
      </c>
      <c r="X28" s="32"/>
      <c r="Y28" s="34"/>
      <c r="Z28" s="34"/>
      <c r="AA28" s="34"/>
      <c r="AB28" s="45"/>
    </row>
    <row r="29" spans="1:28" s="11" customFormat="1" ht="12.6" thickBot="1">
      <c r="A29" s="42" t="s">
        <v>12</v>
      </c>
      <c r="B29" s="68">
        <v>1994</v>
      </c>
      <c r="C29" s="5">
        <f>F29+G29+H29+I29</f>
        <v>318251</v>
      </c>
      <c r="D29" s="23">
        <f t="shared" si="0"/>
        <v>229436</v>
      </c>
      <c r="E29" s="93">
        <v>88815</v>
      </c>
      <c r="F29" s="91">
        <v>228252</v>
      </c>
      <c r="G29" s="91">
        <v>22264</v>
      </c>
      <c r="H29" s="91">
        <v>17729</v>
      </c>
      <c r="I29" s="92">
        <v>50006</v>
      </c>
      <c r="J29" s="40">
        <f t="shared" si="1"/>
        <v>71.720748717207485</v>
      </c>
      <c r="K29" s="40">
        <f t="shared" si="2"/>
        <v>6.9957360699573607</v>
      </c>
      <c r="L29" s="76">
        <f t="shared" si="6"/>
        <v>78.716484787164845</v>
      </c>
      <c r="M29" s="40">
        <f t="shared" si="3"/>
        <v>5.5707601861423841</v>
      </c>
      <c r="N29" s="40">
        <f t="shared" si="4"/>
        <v>15.712755026692768</v>
      </c>
      <c r="O29" s="65">
        <f t="shared" si="5"/>
        <v>27.907217887767832</v>
      </c>
      <c r="P29" s="14">
        <f>F29*2</f>
        <v>456504</v>
      </c>
      <c r="Q29" s="14">
        <f t="shared" si="7"/>
        <v>26192.941176470587</v>
      </c>
      <c r="R29" s="14">
        <f t="shared" si="8"/>
        <v>39397.777777777774</v>
      </c>
      <c r="S29" s="14">
        <f t="shared" si="9"/>
        <v>125015</v>
      </c>
      <c r="T29" s="5">
        <f t="shared" si="10"/>
        <v>647109.71895424835</v>
      </c>
      <c r="U29" s="29"/>
      <c r="V29" s="23">
        <f t="shared" si="11"/>
        <v>469479.71895424835</v>
      </c>
      <c r="W29" s="18">
        <f t="shared" si="12"/>
        <v>177630</v>
      </c>
      <c r="X29" s="32"/>
      <c r="Y29" s="34"/>
      <c r="Z29" s="34"/>
      <c r="AA29" s="34"/>
      <c r="AB29" s="45"/>
    </row>
    <row r="30" spans="1:28" s="94" customFormat="1" ht="15.6" thickTop="1" thickBot="1">
      <c r="A30" s="69" t="s">
        <v>21</v>
      </c>
      <c r="B30" s="52">
        <v>1994</v>
      </c>
      <c r="C30" s="54">
        <f>SUM(C26:C29)</f>
        <v>1725642</v>
      </c>
      <c r="D30" s="55">
        <f t="shared" si="0"/>
        <v>1493134</v>
      </c>
      <c r="E30" s="58">
        <f>SUM(E26:E29)</f>
        <v>232508</v>
      </c>
      <c r="F30" s="53">
        <f>SUM(F26:F29)</f>
        <v>1282247</v>
      </c>
      <c r="G30" s="53">
        <f>SUM(G26:G29)</f>
        <v>130195</v>
      </c>
      <c r="H30" s="53">
        <f>SUM(H26:H29)</f>
        <v>127368</v>
      </c>
      <c r="I30" s="57">
        <f>SUM(I26:I29)</f>
        <v>185832</v>
      </c>
      <c r="J30" s="56">
        <f t="shared" si="1"/>
        <v>74.305504849789244</v>
      </c>
      <c r="K30" s="56">
        <f t="shared" si="2"/>
        <v>7.5447282808369289</v>
      </c>
      <c r="L30" s="56">
        <f t="shared" si="6"/>
        <v>81.850233130626179</v>
      </c>
      <c r="M30" s="56">
        <f t="shared" si="3"/>
        <v>7.3809051935453587</v>
      </c>
      <c r="N30" s="56">
        <f t="shared" si="4"/>
        <v>10.768861675828473</v>
      </c>
      <c r="O30" s="66">
        <f t="shared" si="5"/>
        <v>13.473710074279602</v>
      </c>
      <c r="P30" s="53">
        <f>SUM(P26:P29)</f>
        <v>2564494</v>
      </c>
      <c r="Q30" s="53">
        <f>SUM(Q26:Q29)</f>
        <v>153170.58823529413</v>
      </c>
      <c r="R30" s="53">
        <f>SUM(R26:R29)</f>
        <v>283040</v>
      </c>
      <c r="S30" s="53">
        <f>SUM(S26:S29)</f>
        <v>464580</v>
      </c>
      <c r="T30" s="54">
        <f>SUM(T26:T29)</f>
        <v>3465284.5882352944</v>
      </c>
      <c r="U30" s="57"/>
      <c r="V30" s="55">
        <f>SUM(V26:V29)</f>
        <v>3000268.5882352944</v>
      </c>
      <c r="W30" s="58">
        <f>SUM(W26:W29)</f>
        <v>465016</v>
      </c>
      <c r="X30" s="59">
        <f>P30/T30*100</f>
        <v>74.005292630409187</v>
      </c>
      <c r="Y30" s="60">
        <f>Q30/T30*100</f>
        <v>4.4201445605740757</v>
      </c>
      <c r="Z30" s="60">
        <f>R30/T30*100</f>
        <v>8.1678717228860815</v>
      </c>
      <c r="AA30" s="60">
        <f>S30/T30*100</f>
        <v>13.406691086130637</v>
      </c>
      <c r="AB30" s="61">
        <f>W30/T30*100</f>
        <v>13.419273025330675</v>
      </c>
    </row>
    <row r="31" spans="1:28" s="4" customFormat="1" ht="12.6" thickTop="1">
      <c r="A31" s="42" t="s">
        <v>9</v>
      </c>
      <c r="B31" s="50">
        <v>1995</v>
      </c>
      <c r="C31" s="12">
        <f>F31+G31+H31+I31</f>
        <v>266710</v>
      </c>
      <c r="D31" s="23">
        <f t="shared" si="0"/>
        <v>208426</v>
      </c>
      <c r="E31" s="20">
        <f>193781-135497</f>
        <v>58284</v>
      </c>
      <c r="F31" s="15">
        <f>1058878-860311</f>
        <v>198567</v>
      </c>
      <c r="G31" s="15">
        <f>102332-80373</f>
        <v>21959</v>
      </c>
      <c r="H31" s="15">
        <f>100391-76637</f>
        <v>23754</v>
      </c>
      <c r="I31" s="72">
        <f>151538-129108</f>
        <v>22430</v>
      </c>
      <c r="J31" s="40">
        <f t="shared" si="1"/>
        <v>74.450526789396719</v>
      </c>
      <c r="K31" s="40">
        <f t="shared" si="2"/>
        <v>8.2332870908477371</v>
      </c>
      <c r="L31" s="76">
        <f t="shared" si="6"/>
        <v>82.683813880244458</v>
      </c>
      <c r="M31" s="40">
        <f t="shared" si="3"/>
        <v>8.9063027258070573</v>
      </c>
      <c r="N31" s="40">
        <f t="shared" si="4"/>
        <v>8.4098833939484834</v>
      </c>
      <c r="O31" s="65">
        <f t="shared" si="5"/>
        <v>21.852948895804431</v>
      </c>
      <c r="P31" s="15">
        <f>F31*2</f>
        <v>397134</v>
      </c>
      <c r="Q31" s="15">
        <f>G31/0.85</f>
        <v>25834.117647058825</v>
      </c>
      <c r="R31" s="15">
        <f>H31/0.45</f>
        <v>52786.666666666664</v>
      </c>
      <c r="S31" s="15">
        <f>I31/0.4</f>
        <v>56075</v>
      </c>
      <c r="T31" s="12">
        <f>SUM(P31:S31)</f>
        <v>531829.78431372554</v>
      </c>
      <c r="U31" s="28"/>
      <c r="V31" s="23">
        <f>T31-W31</f>
        <v>415261.78431372554</v>
      </c>
      <c r="W31" s="20">
        <f>E31*2</f>
        <v>116568</v>
      </c>
      <c r="X31" s="15"/>
      <c r="Y31" s="34"/>
      <c r="Z31" s="34"/>
      <c r="AA31" s="34"/>
      <c r="AB31" s="45"/>
    </row>
    <row r="32" spans="1:28" s="4" customFormat="1">
      <c r="A32" s="42" t="s">
        <v>10</v>
      </c>
      <c r="B32" s="50">
        <v>1995</v>
      </c>
      <c r="C32" s="12">
        <f>F32+G32+H32+I32</f>
        <v>353489</v>
      </c>
      <c r="D32" s="23">
        <f t="shared" si="0"/>
        <v>333577</v>
      </c>
      <c r="E32" s="20">
        <f>213693-193781</f>
        <v>19912</v>
      </c>
      <c r="F32" s="15">
        <f>1311828-1058878</f>
        <v>252950</v>
      </c>
      <c r="G32" s="15">
        <f>127786-102332</f>
        <v>25454</v>
      </c>
      <c r="H32" s="15">
        <f>128572-100391</f>
        <v>28181</v>
      </c>
      <c r="I32" s="72">
        <f>198442-151538</f>
        <v>46904</v>
      </c>
      <c r="J32" s="40">
        <f t="shared" si="1"/>
        <v>71.558096574433719</v>
      </c>
      <c r="K32" s="40">
        <f t="shared" si="2"/>
        <v>7.2007898407022566</v>
      </c>
      <c r="L32" s="76">
        <f t="shared" si="6"/>
        <v>78.758886415135976</v>
      </c>
      <c r="M32" s="40">
        <f t="shared" si="3"/>
        <v>7.9722424177272853</v>
      </c>
      <c r="N32" s="40">
        <f t="shared" si="4"/>
        <v>13.268871167136743</v>
      </c>
      <c r="O32" s="65">
        <f t="shared" si="5"/>
        <v>5.6329899940309316</v>
      </c>
      <c r="P32" s="15">
        <f>F32*2</f>
        <v>505900</v>
      </c>
      <c r="Q32" s="15">
        <f>G32/0.85</f>
        <v>29945.882352941178</v>
      </c>
      <c r="R32" s="15">
        <f>H32/0.45</f>
        <v>62624.444444444445</v>
      </c>
      <c r="S32" s="15">
        <f>I32/0.4</f>
        <v>117260</v>
      </c>
      <c r="T32" s="12">
        <f>SUM(P32:S32)</f>
        <v>715730.3267973857</v>
      </c>
      <c r="U32" s="28"/>
      <c r="V32" s="23">
        <f>T32-W32</f>
        <v>675906.3267973857</v>
      </c>
      <c r="W32" s="20">
        <f>E32*2</f>
        <v>39824</v>
      </c>
      <c r="X32" s="15"/>
      <c r="Y32" s="34"/>
      <c r="Z32" s="34"/>
      <c r="AA32" s="34"/>
      <c r="AB32" s="45"/>
    </row>
    <row r="33" spans="1:28" s="4" customFormat="1">
      <c r="A33" s="42" t="s">
        <v>11</v>
      </c>
      <c r="B33" s="50">
        <v>1995</v>
      </c>
      <c r="C33" s="12">
        <f>F33+G33+H33+I33</f>
        <v>842408</v>
      </c>
      <c r="D33" s="23">
        <f t="shared" si="0"/>
        <v>787927</v>
      </c>
      <c r="E33" s="20">
        <v>54481</v>
      </c>
      <c r="F33" s="15">
        <v>656136</v>
      </c>
      <c r="G33" s="15">
        <v>53772</v>
      </c>
      <c r="H33" s="15">
        <v>63780</v>
      </c>
      <c r="I33" s="72">
        <v>68720</v>
      </c>
      <c r="J33" s="40">
        <f t="shared" si="1"/>
        <v>77.888149210358876</v>
      </c>
      <c r="K33" s="40">
        <f t="shared" si="2"/>
        <v>6.3831302646698509</v>
      </c>
      <c r="L33" s="76">
        <f t="shared" si="6"/>
        <v>84.27127947502872</v>
      </c>
      <c r="M33" s="40">
        <f t="shared" si="3"/>
        <v>7.5711531704352284</v>
      </c>
      <c r="N33" s="40">
        <f t="shared" si="4"/>
        <v>8.1575673545360434</v>
      </c>
      <c r="O33" s="65">
        <f t="shared" si="5"/>
        <v>6.467293757894037</v>
      </c>
      <c r="P33" s="15">
        <f>F33*2</f>
        <v>1312272</v>
      </c>
      <c r="Q33" s="15">
        <f>G33/0.85</f>
        <v>63261.176470588238</v>
      </c>
      <c r="R33" s="15">
        <f>H33/0.45</f>
        <v>141733.33333333334</v>
      </c>
      <c r="S33" s="15">
        <f>I33/0.4</f>
        <v>171800</v>
      </c>
      <c r="T33" s="12">
        <f>SUM(P33:S33)</f>
        <v>1689066.5098039214</v>
      </c>
      <c r="U33" s="28"/>
      <c r="V33" s="23">
        <f>T33-W33</f>
        <v>1580104.5098039214</v>
      </c>
      <c r="W33" s="20">
        <f>E33*2</f>
        <v>108962</v>
      </c>
      <c r="X33" s="15"/>
      <c r="Y33" s="34"/>
      <c r="Z33" s="34"/>
      <c r="AA33" s="34"/>
      <c r="AB33" s="45"/>
    </row>
    <row r="34" spans="1:28" s="4" customFormat="1" ht="12.6" thickBot="1">
      <c r="A34" s="42" t="s">
        <v>12</v>
      </c>
      <c r="B34" s="50">
        <v>1995</v>
      </c>
      <c r="C34" s="5">
        <f>F34+G34+H34+I34</f>
        <v>321569</v>
      </c>
      <c r="D34" s="23">
        <f t="shared" si="0"/>
        <v>231984</v>
      </c>
      <c r="E34" s="20">
        <v>89585</v>
      </c>
      <c r="F34" s="14">
        <v>218404</v>
      </c>
      <c r="G34" s="14">
        <v>25484</v>
      </c>
      <c r="H34" s="14">
        <v>27685</v>
      </c>
      <c r="I34" s="73">
        <v>49996</v>
      </c>
      <c r="J34" s="40">
        <f t="shared" si="1"/>
        <v>67.918238387406745</v>
      </c>
      <c r="K34" s="40">
        <f t="shared" si="2"/>
        <v>7.9248932577456159</v>
      </c>
      <c r="L34" s="76">
        <f t="shared" si="6"/>
        <v>75.843131645152368</v>
      </c>
      <c r="M34" s="40">
        <f t="shared" si="3"/>
        <v>8.6093497818508631</v>
      </c>
      <c r="N34" s="40">
        <f t="shared" si="4"/>
        <v>15.547518572996774</v>
      </c>
      <c r="O34" s="65">
        <f t="shared" si="5"/>
        <v>27.858717724656294</v>
      </c>
      <c r="P34" s="14">
        <f>F34*2</f>
        <v>436808</v>
      </c>
      <c r="Q34" s="14">
        <f>G34/0.85</f>
        <v>29981.176470588238</v>
      </c>
      <c r="R34" s="14">
        <f>H34/0.45</f>
        <v>61522.222222222219</v>
      </c>
      <c r="S34" s="14">
        <f>I34/0.4</f>
        <v>124990</v>
      </c>
      <c r="T34" s="5">
        <f>SUM(P34:S34)</f>
        <v>653301.39869281044</v>
      </c>
      <c r="U34" s="29"/>
      <c r="V34" s="23">
        <f>T34-W34</f>
        <v>474131.39869281044</v>
      </c>
      <c r="W34" s="18">
        <f>E34*2</f>
        <v>179170</v>
      </c>
      <c r="X34" s="14"/>
      <c r="Y34" s="34"/>
      <c r="Z34" s="34"/>
      <c r="AA34" s="34"/>
      <c r="AB34" s="45"/>
    </row>
    <row r="35" spans="1:28" s="94" customFormat="1" ht="15.6" thickTop="1" thickBot="1">
      <c r="A35" s="69" t="s">
        <v>21</v>
      </c>
      <c r="B35" s="52">
        <v>1995</v>
      </c>
      <c r="C35" s="54">
        <f>SUM(C31:C34)</f>
        <v>1784176</v>
      </c>
      <c r="D35" s="55">
        <f t="shared" si="0"/>
        <v>1561914</v>
      </c>
      <c r="E35" s="58">
        <f>SUM(E31:E34)</f>
        <v>222262</v>
      </c>
      <c r="F35" s="53">
        <f>SUM(F31:F34)</f>
        <v>1326057</v>
      </c>
      <c r="G35" s="53">
        <f>SUM(G31:G34)</f>
        <v>126669</v>
      </c>
      <c r="H35" s="53">
        <f>SUM(H31:H34)</f>
        <v>143400</v>
      </c>
      <c r="I35" s="57">
        <f>SUM(I31:I34)</f>
        <v>188050</v>
      </c>
      <c r="J35" s="56">
        <f t="shared" si="1"/>
        <v>74.32321699204563</v>
      </c>
      <c r="K35" s="56">
        <f t="shared" si="2"/>
        <v>7.0995798620763866</v>
      </c>
      <c r="L35" s="56">
        <f t="shared" si="6"/>
        <v>81.422796854122012</v>
      </c>
      <c r="M35" s="56">
        <f t="shared" si="3"/>
        <v>8.0373236721040975</v>
      </c>
      <c r="N35" s="56">
        <f t="shared" si="4"/>
        <v>10.539879473773887</v>
      </c>
      <c r="O35" s="66">
        <f t="shared" si="5"/>
        <v>12.457403305503494</v>
      </c>
      <c r="P35" s="53">
        <f>SUM(P31:P34)</f>
        <v>2652114</v>
      </c>
      <c r="Q35" s="53">
        <f>SUM(Q31:Q34)</f>
        <v>149022.35294117648</v>
      </c>
      <c r="R35" s="53">
        <f>SUM(R31:R34)</f>
        <v>318666.66666666663</v>
      </c>
      <c r="S35" s="53">
        <f>SUM(S31:S34)</f>
        <v>470125</v>
      </c>
      <c r="T35" s="54">
        <f>SUM(T31:T34)</f>
        <v>3589928.0196078434</v>
      </c>
      <c r="U35" s="57"/>
      <c r="V35" s="55">
        <f>SUM(V31:V34)</f>
        <v>3145404.0196078434</v>
      </c>
      <c r="W35" s="58">
        <f>SUM(W31:W34)</f>
        <v>444524</v>
      </c>
      <c r="X35" s="59">
        <f>P35/T35*100</f>
        <v>73.876523025375633</v>
      </c>
      <c r="Y35" s="60">
        <f>Q35/T35*100</f>
        <v>4.1511237029609127</v>
      </c>
      <c r="Z35" s="60">
        <f>R35/T35*100</f>
        <v>8.8766868005748254</v>
      </c>
      <c r="AA35" s="60">
        <f>S35/T35*100</f>
        <v>13.095666471088618</v>
      </c>
      <c r="AB35" s="61">
        <f>W35/T35*100</f>
        <v>12.382532395414406</v>
      </c>
    </row>
    <row r="36" spans="1:28" s="4" customFormat="1" ht="12.6" thickTop="1">
      <c r="A36" s="42" t="s">
        <v>9</v>
      </c>
      <c r="B36" s="50">
        <v>1996</v>
      </c>
      <c r="C36" s="12">
        <f>F36+G36+H36+I36</f>
        <v>294273</v>
      </c>
      <c r="D36" s="24">
        <f t="shared" si="0"/>
        <v>247819</v>
      </c>
      <c r="E36" s="20">
        <f>190500-144046</f>
        <v>46454</v>
      </c>
      <c r="F36" s="13">
        <f>1080229-874540</f>
        <v>205689</v>
      </c>
      <c r="G36" s="13">
        <f>97574-79256</f>
        <v>18318</v>
      </c>
      <c r="H36" s="13">
        <f>140044-91465</f>
        <v>48579</v>
      </c>
      <c r="I36" s="74">
        <f>140403-118716</f>
        <v>21687</v>
      </c>
      <c r="J36" s="40">
        <f t="shared" si="1"/>
        <v>69.897340224893213</v>
      </c>
      <c r="K36" s="40">
        <f t="shared" si="2"/>
        <v>6.2248320437145104</v>
      </c>
      <c r="L36" s="76">
        <f t="shared" si="6"/>
        <v>76.122172268607727</v>
      </c>
      <c r="M36" s="40">
        <f t="shared" si="3"/>
        <v>16.508140400240592</v>
      </c>
      <c r="N36" s="40">
        <f t="shared" si="4"/>
        <v>7.3696873311516846</v>
      </c>
      <c r="O36" s="65">
        <f t="shared" si="5"/>
        <v>15.786021823272947</v>
      </c>
      <c r="P36" s="13">
        <f>F36*2</f>
        <v>411378</v>
      </c>
      <c r="Q36" s="13">
        <f>G36/0.85</f>
        <v>21550.588235294119</v>
      </c>
      <c r="R36" s="13">
        <f>H36/0.45</f>
        <v>107953.33333333333</v>
      </c>
      <c r="S36" s="13">
        <f>I36/0.4</f>
        <v>54217.5</v>
      </c>
      <c r="T36" s="12">
        <f>SUM(P36:S36)</f>
        <v>595099.42156862747</v>
      </c>
      <c r="U36" s="28"/>
      <c r="V36" s="24">
        <f>T36-W36</f>
        <v>502191.42156862747</v>
      </c>
      <c r="W36" s="19">
        <f>E36*2</f>
        <v>92908</v>
      </c>
      <c r="X36" s="13"/>
      <c r="Y36" s="35"/>
      <c r="Z36" s="35"/>
      <c r="AA36" s="35"/>
      <c r="AB36" s="46"/>
    </row>
    <row r="37" spans="1:28" s="4" customFormat="1">
      <c r="A37" s="42" t="s">
        <v>10</v>
      </c>
      <c r="B37" s="50">
        <v>1996</v>
      </c>
      <c r="C37" s="12">
        <f>F37+G37+H37+I37</f>
        <v>330323</v>
      </c>
      <c r="D37" s="24">
        <f t="shared" si="0"/>
        <v>303643</v>
      </c>
      <c r="E37" s="20">
        <f>217180-190500</f>
        <v>26680</v>
      </c>
      <c r="F37" s="13">
        <f>1320945-1080229</f>
        <v>240716</v>
      </c>
      <c r="G37" s="13">
        <f>124461-97574</f>
        <v>26887</v>
      </c>
      <c r="H37" s="13">
        <f>164888-140044</f>
        <v>24844</v>
      </c>
      <c r="I37" s="74">
        <f>178279-140403</f>
        <v>37876</v>
      </c>
      <c r="J37" s="40">
        <f t="shared" si="1"/>
        <v>72.872915298056753</v>
      </c>
      <c r="K37" s="40">
        <f t="shared" si="2"/>
        <v>8.1396088071372574</v>
      </c>
      <c r="L37" s="76">
        <f t="shared" si="6"/>
        <v>81.012524105194018</v>
      </c>
      <c r="M37" s="40">
        <f t="shared" si="3"/>
        <v>7.5211232641989811</v>
      </c>
      <c r="N37" s="40">
        <f t="shared" si="4"/>
        <v>11.466352630607011</v>
      </c>
      <c r="O37" s="65">
        <f t="shared" si="5"/>
        <v>8.0769428710686206</v>
      </c>
      <c r="P37" s="13">
        <f>F37*2</f>
        <v>481432</v>
      </c>
      <c r="Q37" s="13">
        <f>G37/0.85</f>
        <v>31631.764705882353</v>
      </c>
      <c r="R37" s="13">
        <f>H37/0.45</f>
        <v>55208.888888888891</v>
      </c>
      <c r="S37" s="13">
        <f>I37/0.4</f>
        <v>94690</v>
      </c>
      <c r="T37" s="12">
        <f>SUM(P37:S37)</f>
        <v>662962.65359477128</v>
      </c>
      <c r="U37" s="28"/>
      <c r="V37" s="24">
        <f>T37-W37</f>
        <v>609602.65359477128</v>
      </c>
      <c r="W37" s="19">
        <f>E37*2</f>
        <v>53360</v>
      </c>
      <c r="X37" s="13"/>
      <c r="Y37" s="35"/>
      <c r="Z37" s="35"/>
      <c r="AA37" s="35"/>
      <c r="AB37" s="46"/>
    </row>
    <row r="38" spans="1:28" s="4" customFormat="1">
      <c r="A38" s="42" t="s">
        <v>11</v>
      </c>
      <c r="B38" s="50">
        <v>1996</v>
      </c>
      <c r="C38" s="12">
        <f>F38+G38+H38+I38</f>
        <v>804625</v>
      </c>
      <c r="D38" s="24">
        <f t="shared" si="0"/>
        <v>724092</v>
      </c>
      <c r="E38" s="20">
        <v>80533</v>
      </c>
      <c r="F38" s="13">
        <v>652360</v>
      </c>
      <c r="G38" s="13">
        <v>46252</v>
      </c>
      <c r="H38" s="13">
        <v>52452</v>
      </c>
      <c r="I38" s="74">
        <v>53561</v>
      </c>
      <c r="J38" s="40">
        <f t="shared" si="1"/>
        <v>81.076277769147126</v>
      </c>
      <c r="K38" s="40">
        <f t="shared" si="2"/>
        <v>5.7482678266273108</v>
      </c>
      <c r="L38" s="76">
        <f t="shared" si="6"/>
        <v>86.824545595774438</v>
      </c>
      <c r="M38" s="40">
        <f t="shared" si="3"/>
        <v>6.5188131116979964</v>
      </c>
      <c r="N38" s="40">
        <f t="shared" si="4"/>
        <v>6.6566412925275751</v>
      </c>
      <c r="O38" s="65">
        <f t="shared" si="5"/>
        <v>10.00876184558024</v>
      </c>
      <c r="P38" s="13">
        <f>F38*2</f>
        <v>1304720</v>
      </c>
      <c r="Q38" s="13">
        <f>G38/0.85</f>
        <v>54414.117647058825</v>
      </c>
      <c r="R38" s="13">
        <f>H38/0.45</f>
        <v>116560</v>
      </c>
      <c r="S38" s="13">
        <f>I38/0.4</f>
        <v>133902.5</v>
      </c>
      <c r="T38" s="12">
        <f>SUM(P38:S38)</f>
        <v>1609596.6176470588</v>
      </c>
      <c r="U38" s="28"/>
      <c r="V38" s="24">
        <f>T38-W38</f>
        <v>1448530.6176470588</v>
      </c>
      <c r="W38" s="19">
        <f>E38*2</f>
        <v>161066</v>
      </c>
      <c r="X38" s="13"/>
      <c r="Y38" s="35"/>
      <c r="Z38" s="35"/>
      <c r="AA38" s="35"/>
      <c r="AB38" s="46"/>
    </row>
    <row r="39" spans="1:28" s="4" customFormat="1" ht="12.6" thickBot="1">
      <c r="A39" s="42" t="s">
        <v>12</v>
      </c>
      <c r="B39" s="50">
        <v>1996</v>
      </c>
      <c r="C39" s="5">
        <f>F39+G39+H39+I39</f>
        <v>465145</v>
      </c>
      <c r="D39" s="24">
        <f t="shared" si="0"/>
        <v>380350</v>
      </c>
      <c r="E39" s="20">
        <v>84795</v>
      </c>
      <c r="F39" s="13">
        <v>234514</v>
      </c>
      <c r="G39" s="13">
        <v>23007</v>
      </c>
      <c r="H39" s="13">
        <v>16545</v>
      </c>
      <c r="I39" s="74">
        <v>191079</v>
      </c>
      <c r="J39" s="40">
        <f t="shared" si="1"/>
        <v>50.417396725752184</v>
      </c>
      <c r="K39" s="40">
        <f t="shared" si="2"/>
        <v>4.9461995721764174</v>
      </c>
      <c r="L39" s="76">
        <f t="shared" si="6"/>
        <v>55.363596297928602</v>
      </c>
      <c r="M39" s="40">
        <f t="shared" si="3"/>
        <v>3.5569553580066429</v>
      </c>
      <c r="N39" s="40">
        <f t="shared" si="4"/>
        <v>41.079448344064758</v>
      </c>
      <c r="O39" s="65">
        <f t="shared" si="5"/>
        <v>18.229799309892613</v>
      </c>
      <c r="P39" s="13">
        <f>F39*2</f>
        <v>469028</v>
      </c>
      <c r="Q39" s="13">
        <f>G39/0.85</f>
        <v>27067.058823529413</v>
      </c>
      <c r="R39" s="13">
        <f>H39/0.45</f>
        <v>36766.666666666664</v>
      </c>
      <c r="S39" s="13">
        <f>I39/0.4</f>
        <v>477697.5</v>
      </c>
      <c r="T39" s="5">
        <f>SUM(P39:S39)</f>
        <v>1010559.225490196</v>
      </c>
      <c r="U39" s="29"/>
      <c r="V39" s="24">
        <f>T39-W39</f>
        <v>840969.22549019603</v>
      </c>
      <c r="W39" s="19">
        <f>E39*2</f>
        <v>169590</v>
      </c>
      <c r="X39" s="13"/>
      <c r="Y39" s="35"/>
      <c r="Z39" s="35"/>
      <c r="AA39" s="35"/>
      <c r="AB39" s="46"/>
    </row>
    <row r="40" spans="1:28" s="94" customFormat="1" ht="15.6" thickTop="1" thickBot="1">
      <c r="A40" s="69" t="s">
        <v>21</v>
      </c>
      <c r="B40" s="52">
        <v>1996</v>
      </c>
      <c r="C40" s="54">
        <f>SUM(C36:C39)</f>
        <v>1894366</v>
      </c>
      <c r="D40" s="55">
        <f t="shared" si="0"/>
        <v>1655904</v>
      </c>
      <c r="E40" s="58">
        <f>SUM(E36:E39)</f>
        <v>238462</v>
      </c>
      <c r="F40" s="53">
        <f>SUM(F36:F39)</f>
        <v>1333279</v>
      </c>
      <c r="G40" s="53">
        <f>SUM(G36:G39)</f>
        <v>114464</v>
      </c>
      <c r="H40" s="53">
        <f>SUM(H36:H39)</f>
        <v>142420</v>
      </c>
      <c r="I40" s="57">
        <f>SUM(I36:I39)</f>
        <v>304203</v>
      </c>
      <c r="J40" s="56">
        <f t="shared" si="1"/>
        <v>70.38127795790254</v>
      </c>
      <c r="K40" s="56">
        <f t="shared" si="2"/>
        <v>6.0423381754106646</v>
      </c>
      <c r="L40" s="56">
        <f t="shared" si="6"/>
        <v>76.423616133313203</v>
      </c>
      <c r="M40" s="56">
        <f t="shared" si="3"/>
        <v>7.518082566937963</v>
      </c>
      <c r="N40" s="56">
        <f t="shared" si="4"/>
        <v>16.058301299748834</v>
      </c>
      <c r="O40" s="66">
        <f t="shared" si="5"/>
        <v>12.587958187594161</v>
      </c>
      <c r="P40" s="53">
        <f>SUM(P36:P39)</f>
        <v>2666558</v>
      </c>
      <c r="Q40" s="53">
        <f>SUM(Q36:Q39)</f>
        <v>134663.5294117647</v>
      </c>
      <c r="R40" s="53">
        <f>SUM(R36:R39)</f>
        <v>316488.88888888893</v>
      </c>
      <c r="S40" s="53">
        <f>SUM(S36:S39)</f>
        <v>760507.5</v>
      </c>
      <c r="T40" s="54">
        <f>SUM(T36:T39)</f>
        <v>3878217.9183006538</v>
      </c>
      <c r="U40" s="57">
        <f>T40/T35*100</f>
        <v>108.03052030899222</v>
      </c>
      <c r="V40" s="55">
        <f>SUM(V36:V39)</f>
        <v>3401293.9183006538</v>
      </c>
      <c r="W40" s="58">
        <f>SUM(W36:W39)</f>
        <v>476924</v>
      </c>
      <c r="X40" s="59">
        <f>P40/T40*100</f>
        <v>68.757301837448694</v>
      </c>
      <c r="Y40" s="60">
        <f>Q40/T40*100</f>
        <v>3.4723043482500118</v>
      </c>
      <c r="Z40" s="60">
        <f>R40/T40*100</f>
        <v>8.1606783207161069</v>
      </c>
      <c r="AA40" s="60">
        <f>S40/T40*100</f>
        <v>19.609715493585181</v>
      </c>
      <c r="AB40" s="61">
        <f>W40/T40*100</f>
        <v>12.297503906355452</v>
      </c>
    </row>
    <row r="41" spans="1:28" ht="12.6" thickTop="1">
      <c r="A41" s="42" t="s">
        <v>9</v>
      </c>
      <c r="B41" s="50">
        <v>1997</v>
      </c>
      <c r="C41" s="5">
        <f>F41+G41+H41+I41</f>
        <v>296764</v>
      </c>
      <c r="D41" s="23">
        <f t="shared" si="0"/>
        <v>271160</v>
      </c>
      <c r="E41" s="20">
        <v>25604</v>
      </c>
      <c r="F41" s="2">
        <v>207214</v>
      </c>
      <c r="G41" s="2">
        <v>22894</v>
      </c>
      <c r="H41" s="2">
        <v>40474</v>
      </c>
      <c r="I41" s="75">
        <v>26182</v>
      </c>
      <c r="J41" s="37">
        <f t="shared" si="1"/>
        <v>69.824507015675749</v>
      </c>
      <c r="K41" s="40">
        <f t="shared" si="2"/>
        <v>7.714547586634497</v>
      </c>
      <c r="L41" s="76">
        <f t="shared" si="6"/>
        <v>77.539054602310244</v>
      </c>
      <c r="M41" s="40">
        <f t="shared" si="3"/>
        <v>13.638446711865321</v>
      </c>
      <c r="N41" s="40">
        <f t="shared" si="4"/>
        <v>8.8224986858244261</v>
      </c>
      <c r="O41" s="65">
        <f t="shared" si="5"/>
        <v>8.6277311264169523</v>
      </c>
      <c r="P41" s="2">
        <f>F41*2</f>
        <v>414428</v>
      </c>
      <c r="Q41" s="2">
        <f t="shared" ref="Q41:Q46" si="13">G41/0.85</f>
        <v>26934.117647058825</v>
      </c>
      <c r="R41" s="2">
        <f t="shared" ref="R41:R46" si="14">H41/0.45</f>
        <v>89942.222222222219</v>
      </c>
      <c r="S41" s="2">
        <f t="shared" ref="S41:S46" si="15">I41/0.4</f>
        <v>65455</v>
      </c>
      <c r="T41" s="5">
        <f t="shared" ref="T41:T46" si="16">SUM(P41:S41)</f>
        <v>596759.33986928104</v>
      </c>
      <c r="U41" s="29"/>
      <c r="V41" s="23">
        <f t="shared" ref="V41:V46" si="17">T41-W41</f>
        <v>545551.33986928104</v>
      </c>
      <c r="W41" s="18">
        <f>E41*2</f>
        <v>51208</v>
      </c>
      <c r="X41" s="47"/>
      <c r="Y41" s="34"/>
      <c r="Z41" s="34"/>
      <c r="AA41" s="34"/>
      <c r="AB41" s="45"/>
    </row>
    <row r="42" spans="1:28">
      <c r="A42" s="42" t="s">
        <v>10</v>
      </c>
      <c r="B42" s="50">
        <v>1997</v>
      </c>
      <c r="C42" s="5">
        <f>F42+G42+H42+I42</f>
        <v>338599</v>
      </c>
      <c r="D42" s="23">
        <f t="shared" si="0"/>
        <v>315343</v>
      </c>
      <c r="E42" s="20">
        <v>23256</v>
      </c>
      <c r="F42" s="2">
        <v>255433</v>
      </c>
      <c r="G42" s="2">
        <v>28706</v>
      </c>
      <c r="H42" s="2">
        <v>29209</v>
      </c>
      <c r="I42" s="75">
        <v>25251</v>
      </c>
      <c r="J42" s="37">
        <f t="shared" si="1"/>
        <v>75.438202711762287</v>
      </c>
      <c r="K42" s="40">
        <f t="shared" si="2"/>
        <v>8.4778750084908694</v>
      </c>
      <c r="L42" s="76">
        <f t="shared" si="6"/>
        <v>83.916077720253156</v>
      </c>
      <c r="M42" s="40">
        <f t="shared" si="3"/>
        <v>8.6264283119560297</v>
      </c>
      <c r="N42" s="40">
        <f t="shared" si="4"/>
        <v>7.4574939677908088</v>
      </c>
      <c r="O42" s="65">
        <f t="shared" si="5"/>
        <v>6.8683014421188489</v>
      </c>
      <c r="P42" s="2">
        <f>F42*2</f>
        <v>510866</v>
      </c>
      <c r="Q42" s="2">
        <f t="shared" si="13"/>
        <v>33771.764705882357</v>
      </c>
      <c r="R42" s="2">
        <f t="shared" si="14"/>
        <v>64908.888888888891</v>
      </c>
      <c r="S42" s="2">
        <f t="shared" si="15"/>
        <v>63127.5</v>
      </c>
      <c r="T42" s="5">
        <f t="shared" si="16"/>
        <v>672674.15359477128</v>
      </c>
      <c r="U42" s="29"/>
      <c r="V42" s="23">
        <f t="shared" si="17"/>
        <v>626162.15359477128</v>
      </c>
      <c r="W42" s="18">
        <f>E42*2</f>
        <v>46512</v>
      </c>
      <c r="X42" s="47"/>
      <c r="Y42" s="34"/>
      <c r="Z42" s="34"/>
      <c r="AA42" s="34"/>
      <c r="AB42" s="45"/>
    </row>
    <row r="43" spans="1:28">
      <c r="A43" s="42" t="s">
        <v>11</v>
      </c>
      <c r="B43" s="50">
        <v>1997</v>
      </c>
      <c r="C43" s="5">
        <f>F43+G43+H43+I43</f>
        <v>996349</v>
      </c>
      <c r="D43" s="23">
        <f t="shared" si="0"/>
        <v>955558</v>
      </c>
      <c r="E43" s="20">
        <v>40791</v>
      </c>
      <c r="F43" s="2">
        <v>810822</v>
      </c>
      <c r="G43" s="2">
        <v>69983</v>
      </c>
      <c r="H43" s="2">
        <v>70676</v>
      </c>
      <c r="I43" s="75">
        <v>44868</v>
      </c>
      <c r="J43" s="37">
        <f t="shared" si="1"/>
        <v>81.379315882286235</v>
      </c>
      <c r="K43" s="40">
        <f t="shared" si="2"/>
        <v>7.0239444210813682</v>
      </c>
      <c r="L43" s="76">
        <f t="shared" si="6"/>
        <v>88.403260303367603</v>
      </c>
      <c r="M43" s="40">
        <f t="shared" si="3"/>
        <v>7.0934983625215668</v>
      </c>
      <c r="N43" s="40">
        <f t="shared" si="4"/>
        <v>4.5032413341108386</v>
      </c>
      <c r="O43" s="65">
        <f t="shared" si="5"/>
        <v>4.0940473669366861</v>
      </c>
      <c r="P43" s="2">
        <f>F43*2</f>
        <v>1621644</v>
      </c>
      <c r="Q43" s="2">
        <f t="shared" si="13"/>
        <v>82332.941176470587</v>
      </c>
      <c r="R43" s="2">
        <f t="shared" si="14"/>
        <v>157057.77777777778</v>
      </c>
      <c r="S43" s="2">
        <f t="shared" si="15"/>
        <v>112170</v>
      </c>
      <c r="T43" s="5">
        <f t="shared" si="16"/>
        <v>1973204.7189542484</v>
      </c>
      <c r="U43" s="29"/>
      <c r="V43" s="23">
        <f t="shared" si="17"/>
        <v>1891622.7189542484</v>
      </c>
      <c r="W43" s="18">
        <f>E43*2</f>
        <v>81582</v>
      </c>
      <c r="X43" s="47"/>
      <c r="Y43" s="34"/>
      <c r="Z43" s="34"/>
      <c r="AA43" s="34"/>
      <c r="AB43" s="45"/>
    </row>
    <row r="44" spans="1:28" ht="12.6" thickBot="1">
      <c r="A44" s="42" t="s">
        <v>12</v>
      </c>
      <c r="B44" s="50">
        <v>1997</v>
      </c>
      <c r="C44" s="5">
        <f>F44+G44+H44+I44</f>
        <v>463294</v>
      </c>
      <c r="D44" s="23">
        <f t="shared" si="0"/>
        <v>363182</v>
      </c>
      <c r="E44" s="20">
        <v>100112</v>
      </c>
      <c r="F44" s="2">
        <v>241761</v>
      </c>
      <c r="G44" s="2">
        <v>22195</v>
      </c>
      <c r="H44" s="2">
        <v>22631</v>
      </c>
      <c r="I44" s="75">
        <v>176707</v>
      </c>
      <c r="J44" s="37">
        <f t="shared" si="1"/>
        <v>52.183063022616302</v>
      </c>
      <c r="K44" s="40">
        <f t="shared" si="2"/>
        <v>4.790694461832012</v>
      </c>
      <c r="L44" s="76">
        <f t="shared" si="6"/>
        <v>56.973757484448313</v>
      </c>
      <c r="M44" s="40">
        <f t="shared" si="3"/>
        <v>4.8848031703410797</v>
      </c>
      <c r="N44" s="40">
        <f t="shared" si="4"/>
        <v>38.1414393452106</v>
      </c>
      <c r="O44" s="65">
        <f t="shared" si="5"/>
        <v>21.608740885916934</v>
      </c>
      <c r="P44" s="2">
        <f>F44*2</f>
        <v>483522</v>
      </c>
      <c r="Q44" s="2">
        <f t="shared" si="13"/>
        <v>26111.764705882353</v>
      </c>
      <c r="R44" s="2">
        <f t="shared" si="14"/>
        <v>50291.111111111109</v>
      </c>
      <c r="S44" s="2">
        <f t="shared" si="15"/>
        <v>441767.5</v>
      </c>
      <c r="T44" s="5">
        <f t="shared" si="16"/>
        <v>1001692.3758169934</v>
      </c>
      <c r="U44" s="29"/>
      <c r="V44" s="23">
        <f t="shared" si="17"/>
        <v>801468.37581699342</v>
      </c>
      <c r="W44" s="18">
        <f>E44*2</f>
        <v>200224</v>
      </c>
      <c r="X44" s="47"/>
      <c r="Y44" s="34"/>
      <c r="Z44" s="34"/>
      <c r="AA44" s="34"/>
      <c r="AB44" s="45"/>
    </row>
    <row r="45" spans="1:28" s="62" customFormat="1" ht="15.6" thickTop="1" thickBot="1">
      <c r="A45" s="69" t="s">
        <v>21</v>
      </c>
      <c r="B45" s="52">
        <v>1997</v>
      </c>
      <c r="C45" s="54">
        <f>SUM(C41:C44)</f>
        <v>2095006</v>
      </c>
      <c r="D45" s="55">
        <f t="shared" si="0"/>
        <v>1905243</v>
      </c>
      <c r="E45" s="58">
        <f>SUM(E41:E44)</f>
        <v>189763</v>
      </c>
      <c r="F45" s="53">
        <f>SUM(F41:F44)</f>
        <v>1515230</v>
      </c>
      <c r="G45" s="53">
        <f>SUM(G41:G44)</f>
        <v>143778</v>
      </c>
      <c r="H45" s="53">
        <f>SUM(H41:H44)</f>
        <v>162990</v>
      </c>
      <c r="I45" s="57">
        <f>SUM(I41:I44)</f>
        <v>273008</v>
      </c>
      <c r="J45" s="56">
        <f t="shared" si="1"/>
        <v>72.32580718145914</v>
      </c>
      <c r="K45" s="56">
        <f t="shared" si="2"/>
        <v>6.8628920394500064</v>
      </c>
      <c r="L45" s="56">
        <f t="shared" si="6"/>
        <v>79.188699220909143</v>
      </c>
      <c r="M45" s="56">
        <f t="shared" si="3"/>
        <v>7.7799299858807087</v>
      </c>
      <c r="N45" s="56">
        <f t="shared" si="4"/>
        <v>13.03137079321014</v>
      </c>
      <c r="O45" s="66">
        <f t="shared" si="5"/>
        <v>9.0578738199317801</v>
      </c>
      <c r="P45" s="53">
        <f>SUM(P41:P44)</f>
        <v>3030460</v>
      </c>
      <c r="Q45" s="53">
        <f>SUM(Q41:Q44)</f>
        <v>169150.58823529413</v>
      </c>
      <c r="R45" s="53">
        <f>SUM(R41:R44)</f>
        <v>362200</v>
      </c>
      <c r="S45" s="53">
        <f>SUM(S41:S44)</f>
        <v>682520</v>
      </c>
      <c r="T45" s="54">
        <f>SUM(T41:T44)</f>
        <v>4244330.5882352944</v>
      </c>
      <c r="U45" s="57">
        <f>T45/T40*100</f>
        <v>109.44022944680383</v>
      </c>
      <c r="V45" s="55">
        <f>SUM(V41:V44)</f>
        <v>3864804.588235294</v>
      </c>
      <c r="W45" s="58">
        <f>SUM(W41:W44)</f>
        <v>379526</v>
      </c>
      <c r="X45" s="59">
        <f>P45/T45*100</f>
        <v>71.40018754429785</v>
      </c>
      <c r="Y45" s="60">
        <f>Q45/T45*100</f>
        <v>3.985330188561572</v>
      </c>
      <c r="Z45" s="60">
        <f>R45/T45*100</f>
        <v>8.5337367688551176</v>
      </c>
      <c r="AA45" s="60">
        <f>S45/T45*100</f>
        <v>16.080745498285463</v>
      </c>
      <c r="AB45" s="61">
        <f>W45/T45*100</f>
        <v>8.9419519076104557</v>
      </c>
    </row>
    <row r="46" spans="1:28" ht="12.6" thickTop="1">
      <c r="A46" s="42" t="s">
        <v>9</v>
      </c>
      <c r="B46" s="50">
        <v>1998</v>
      </c>
      <c r="C46" s="5">
        <f>F46+G46+H46+I46</f>
        <v>340722</v>
      </c>
      <c r="D46" s="23">
        <f t="shared" si="0"/>
        <v>277940</v>
      </c>
      <c r="E46" s="20">
        <v>62782</v>
      </c>
      <c r="F46" s="2">
        <v>255411</v>
      </c>
      <c r="G46" s="2">
        <v>26424</v>
      </c>
      <c r="H46" s="2">
        <v>41265</v>
      </c>
      <c r="I46" s="75">
        <v>17622</v>
      </c>
      <c r="J46" s="37">
        <f t="shared" si="1"/>
        <v>74.961698980400442</v>
      </c>
      <c r="K46" s="40">
        <f t="shared" si="2"/>
        <v>7.7552961065032484</v>
      </c>
      <c r="L46" s="76">
        <f t="shared" si="6"/>
        <v>82.716995086903694</v>
      </c>
      <c r="M46" s="40">
        <f t="shared" si="3"/>
        <v>12.111046542342438</v>
      </c>
      <c r="N46" s="40">
        <f t="shared" si="4"/>
        <v>5.1719583707538694</v>
      </c>
      <c r="O46" s="65">
        <f t="shared" si="5"/>
        <v>18.426165613021762</v>
      </c>
      <c r="P46" s="2">
        <f>F46*2</f>
        <v>510822</v>
      </c>
      <c r="Q46" s="2">
        <f t="shared" si="13"/>
        <v>31087.058823529413</v>
      </c>
      <c r="R46" s="2">
        <f t="shared" si="14"/>
        <v>91700</v>
      </c>
      <c r="S46" s="2">
        <f t="shared" si="15"/>
        <v>44055</v>
      </c>
      <c r="T46" s="5">
        <f t="shared" si="16"/>
        <v>677664.0588235294</v>
      </c>
      <c r="U46" s="29"/>
      <c r="V46" s="23">
        <f t="shared" si="17"/>
        <v>552100.0588235294</v>
      </c>
      <c r="W46" s="18">
        <f>E46*2</f>
        <v>125564</v>
      </c>
      <c r="X46" s="47"/>
      <c r="Y46" s="34"/>
      <c r="Z46" s="34"/>
      <c r="AA46" s="34"/>
      <c r="AB46" s="45"/>
    </row>
    <row r="47" spans="1:28">
      <c r="A47" s="42" t="s">
        <v>10</v>
      </c>
      <c r="B47" s="50">
        <v>1998</v>
      </c>
      <c r="C47" s="5">
        <f>F47+G47+H47+I47</f>
        <v>320209</v>
      </c>
      <c r="D47" s="23">
        <f t="shared" si="0"/>
        <v>304529</v>
      </c>
      <c r="E47" s="20">
        <v>15680</v>
      </c>
      <c r="F47" s="2">
        <v>258372</v>
      </c>
      <c r="G47" s="2">
        <v>24051</v>
      </c>
      <c r="H47" s="2">
        <v>17506</v>
      </c>
      <c r="I47" s="75">
        <v>20280</v>
      </c>
      <c r="J47" s="37">
        <f t="shared" si="1"/>
        <v>80.688550290591451</v>
      </c>
      <c r="K47" s="40">
        <f t="shared" si="2"/>
        <v>7.5110318573181889</v>
      </c>
      <c r="L47" s="76">
        <f t="shared" si="6"/>
        <v>88.199582147909638</v>
      </c>
      <c r="M47" s="40">
        <f t="shared" si="3"/>
        <v>5.4670543301406269</v>
      </c>
      <c r="N47" s="40">
        <f t="shared" si="4"/>
        <v>6.3333635219497264</v>
      </c>
      <c r="O47" s="65">
        <f t="shared" si="5"/>
        <v>4.8968017763398279</v>
      </c>
      <c r="P47" s="2">
        <f>F47*2</f>
        <v>516744</v>
      </c>
      <c r="Q47" s="2">
        <f>G47/0.85</f>
        <v>28295.294117647059</v>
      </c>
      <c r="R47" s="2">
        <f>H47/0.45</f>
        <v>38902.222222222219</v>
      </c>
      <c r="S47" s="2">
        <f>I47/0.4</f>
        <v>50700</v>
      </c>
      <c r="T47" s="5">
        <f>SUM(P47:S47)</f>
        <v>634641.51633986935</v>
      </c>
      <c r="U47" s="29"/>
      <c r="V47" s="23">
        <f>T47-W47</f>
        <v>603281.51633986935</v>
      </c>
      <c r="W47" s="18">
        <f>E47*2</f>
        <v>31360</v>
      </c>
      <c r="X47" s="47"/>
      <c r="Y47" s="34"/>
      <c r="Z47" s="34"/>
      <c r="AA47" s="34"/>
      <c r="AB47" s="45"/>
    </row>
    <row r="48" spans="1:28">
      <c r="A48" s="42" t="s">
        <v>11</v>
      </c>
      <c r="B48" s="50">
        <v>1998</v>
      </c>
      <c r="C48" s="5">
        <f>F48+G48+H48+I48</f>
        <v>967097</v>
      </c>
      <c r="D48" s="23">
        <f t="shared" si="0"/>
        <v>906939</v>
      </c>
      <c r="E48" s="20">
        <v>60158</v>
      </c>
      <c r="F48" s="2">
        <v>769499</v>
      </c>
      <c r="G48" s="2">
        <v>52299</v>
      </c>
      <c r="H48" s="2">
        <v>61445</v>
      </c>
      <c r="I48" s="75">
        <v>83854</v>
      </c>
      <c r="J48" s="37">
        <f t="shared" si="1"/>
        <v>79.567923383073264</v>
      </c>
      <c r="K48" s="40">
        <f t="shared" si="2"/>
        <v>5.407833960812618</v>
      </c>
      <c r="L48" s="76">
        <f t="shared" si="6"/>
        <v>84.975757343885888</v>
      </c>
      <c r="M48" s="40">
        <f t="shared" si="3"/>
        <v>6.3535508847613009</v>
      </c>
      <c r="N48" s="40">
        <f t="shared" si="4"/>
        <v>8.6706917713528213</v>
      </c>
      <c r="O48" s="65">
        <f t="shared" si="5"/>
        <v>6.2204721966876129</v>
      </c>
      <c r="P48" s="2">
        <f>F48*2</f>
        <v>1538998</v>
      </c>
      <c r="Q48" s="2">
        <f>G48/0.85</f>
        <v>61528.23529411765</v>
      </c>
      <c r="R48" s="2">
        <f>H48/0.45</f>
        <v>136544.44444444444</v>
      </c>
      <c r="S48" s="2">
        <f>I48/0.4</f>
        <v>209635</v>
      </c>
      <c r="T48" s="5">
        <f>SUM(P48:S48)</f>
        <v>1946705.6797385621</v>
      </c>
      <c r="U48" s="29"/>
      <c r="V48" s="23">
        <f>T48-W48</f>
        <v>1826389.6797385621</v>
      </c>
      <c r="W48" s="18">
        <f>E48*2</f>
        <v>120316</v>
      </c>
      <c r="X48" s="47"/>
      <c r="Y48" s="34"/>
      <c r="Z48" s="34"/>
      <c r="AA48" s="34"/>
      <c r="AB48" s="45"/>
    </row>
    <row r="49" spans="1:28" ht="12.6" thickBot="1">
      <c r="A49" s="42" t="s">
        <v>12</v>
      </c>
      <c r="B49" s="50">
        <v>1998</v>
      </c>
      <c r="C49" s="5">
        <f>F49+G49+H49+I49</f>
        <v>378902</v>
      </c>
      <c r="D49" s="23">
        <f t="shared" si="0"/>
        <v>325136</v>
      </c>
      <c r="E49" s="20">
        <v>53766</v>
      </c>
      <c r="F49" s="2">
        <v>146828</v>
      </c>
      <c r="G49" s="2">
        <v>13386</v>
      </c>
      <c r="H49" s="2">
        <v>17738</v>
      </c>
      <c r="I49" s="75">
        <v>200950</v>
      </c>
      <c r="J49" s="37">
        <f t="shared" si="1"/>
        <v>38.750917123688978</v>
      </c>
      <c r="K49" s="40">
        <f t="shared" si="2"/>
        <v>3.5328396260774553</v>
      </c>
      <c r="L49" s="76">
        <f t="shared" ref="L49:L55" si="18">SUM(J49:K49)</f>
        <v>42.283756749766432</v>
      </c>
      <c r="M49" s="40">
        <f t="shared" ref="M49:N51" si="19">H49/Gesamt*100</f>
        <v>4.6814215813059841</v>
      </c>
      <c r="N49" s="40">
        <f t="shared" si="19"/>
        <v>53.034821668927592</v>
      </c>
      <c r="O49" s="65">
        <f t="shared" ref="O49:O55" si="20">E49/Gesamt*100</f>
        <v>14.189948852209804</v>
      </c>
      <c r="P49" s="2">
        <f>F49*2</f>
        <v>293656</v>
      </c>
      <c r="Q49" s="2">
        <f>G49/0.85</f>
        <v>15748.235294117647</v>
      </c>
      <c r="R49" s="2">
        <f>H49/0.45</f>
        <v>39417.777777777774</v>
      </c>
      <c r="S49" s="2">
        <f>I49/0.4</f>
        <v>502375</v>
      </c>
      <c r="T49" s="5">
        <f>SUM(P49:S49)</f>
        <v>851197.01307189534</v>
      </c>
      <c r="U49" s="29"/>
      <c r="V49" s="23">
        <f>T49-W49</f>
        <v>743665.01307189534</v>
      </c>
      <c r="W49" s="18">
        <f>E49*2</f>
        <v>107532</v>
      </c>
      <c r="X49" s="47"/>
      <c r="Y49" s="34"/>
      <c r="Z49" s="34"/>
      <c r="AA49" s="34"/>
      <c r="AB49" s="45"/>
    </row>
    <row r="50" spans="1:28" s="62" customFormat="1" ht="15.6" thickTop="1" thickBot="1">
      <c r="A50" s="69" t="s">
        <v>21</v>
      </c>
      <c r="B50" s="52">
        <v>1998</v>
      </c>
      <c r="C50" s="54">
        <f t="shared" ref="C50:I50" si="21">SUM(C46:C49)</f>
        <v>2006930</v>
      </c>
      <c r="D50" s="55">
        <f t="shared" si="0"/>
        <v>1814544</v>
      </c>
      <c r="E50" s="58">
        <f t="shared" si="21"/>
        <v>192386</v>
      </c>
      <c r="F50" s="53">
        <f t="shared" si="21"/>
        <v>1430110</v>
      </c>
      <c r="G50" s="53">
        <f t="shared" si="21"/>
        <v>116160</v>
      </c>
      <c r="H50" s="53">
        <f t="shared" si="21"/>
        <v>137954</v>
      </c>
      <c r="I50" s="57">
        <f t="shared" si="21"/>
        <v>322706</v>
      </c>
      <c r="J50" s="56">
        <f t="shared" si="1"/>
        <v>71.258588989152585</v>
      </c>
      <c r="K50" s="56">
        <f t="shared" si="2"/>
        <v>5.7879447713672132</v>
      </c>
      <c r="L50" s="56">
        <f t="shared" si="18"/>
        <v>77.046533760519793</v>
      </c>
      <c r="M50" s="56">
        <f t="shared" si="19"/>
        <v>6.8738819988739017</v>
      </c>
      <c r="N50" s="56">
        <f t="shared" si="19"/>
        <v>16.079584240606298</v>
      </c>
      <c r="O50" s="66">
        <f t="shared" si="20"/>
        <v>9.5860842181839914</v>
      </c>
      <c r="P50" s="53">
        <f>SUM(P46:P49)</f>
        <v>2860220</v>
      </c>
      <c r="Q50" s="53">
        <f>SUM(Q46:Q49)</f>
        <v>136658.82352941178</v>
      </c>
      <c r="R50" s="53">
        <f>SUM(R46:R49)</f>
        <v>306564.44444444438</v>
      </c>
      <c r="S50" s="53">
        <f>SUM(S46:S49)</f>
        <v>806765</v>
      </c>
      <c r="T50" s="54">
        <f>SUM(T46:T49)</f>
        <v>4110208.2679738561</v>
      </c>
      <c r="U50" s="57">
        <f>T50/T45*100</f>
        <v>96.839965279019339</v>
      </c>
      <c r="V50" s="55">
        <f>SUM(V46:V49)</f>
        <v>3725436.2679738561</v>
      </c>
      <c r="W50" s="58">
        <f>SUM(W46:W49)</f>
        <v>384772</v>
      </c>
      <c r="X50" s="59">
        <f>P50/T50*100</f>
        <v>69.588201218084677</v>
      </c>
      <c r="Y50" s="60">
        <f>Q50/T50*100</f>
        <v>3.3248637202702698</v>
      </c>
      <c r="Z50" s="60">
        <f>R50/T50*100</f>
        <v>7.458610962202326</v>
      </c>
      <c r="AA50" s="60">
        <f>S50/T50*100</f>
        <v>19.628324099442729</v>
      </c>
      <c r="AB50" s="61">
        <f>W50/T50*100</f>
        <v>9.3613747750469809</v>
      </c>
    </row>
    <row r="51" spans="1:28" ht="12.6" thickTop="1">
      <c r="A51" s="42" t="s">
        <v>9</v>
      </c>
      <c r="B51" s="50">
        <v>1999</v>
      </c>
      <c r="C51" s="5">
        <f>F51+G51+H51+I51</f>
        <v>274563</v>
      </c>
      <c r="D51" s="23">
        <f t="shared" si="0"/>
        <v>222491</v>
      </c>
      <c r="E51" s="20">
        <v>52072</v>
      </c>
      <c r="F51" s="2">
        <v>191813</v>
      </c>
      <c r="G51" s="2">
        <v>23595</v>
      </c>
      <c r="H51" s="2">
        <v>34459</v>
      </c>
      <c r="I51" s="75">
        <v>24696</v>
      </c>
      <c r="J51" s="37">
        <f t="shared" si="1"/>
        <v>69.861197612205572</v>
      </c>
      <c r="K51" s="40">
        <f t="shared" si="2"/>
        <v>8.593656100785612</v>
      </c>
      <c r="L51" s="76">
        <f t="shared" si="18"/>
        <v>78.454853712991181</v>
      </c>
      <c r="M51" s="40">
        <f t="shared" si="19"/>
        <v>12.550489323033329</v>
      </c>
      <c r="N51" s="40">
        <f t="shared" si="19"/>
        <v>8.9946569639754816</v>
      </c>
      <c r="O51" s="65">
        <f t="shared" si="20"/>
        <v>18.965410488667448</v>
      </c>
      <c r="P51" s="2">
        <f>F51*2</f>
        <v>383626</v>
      </c>
      <c r="Q51" s="2">
        <f>G51/0.85</f>
        <v>27758.823529411766</v>
      </c>
      <c r="R51" s="2">
        <f>H51/0.45</f>
        <v>76575.555555555547</v>
      </c>
      <c r="S51" s="2">
        <f>I51/0.4</f>
        <v>61740</v>
      </c>
      <c r="T51" s="5">
        <f>SUM(P51:S51)</f>
        <v>549700.37908496731</v>
      </c>
      <c r="U51" s="29"/>
      <c r="V51" s="23">
        <f>T51-W51</f>
        <v>445556.37908496731</v>
      </c>
      <c r="W51" s="18">
        <f>E51*2</f>
        <v>104144</v>
      </c>
      <c r="X51" s="47"/>
      <c r="Y51" s="34"/>
      <c r="Z51" s="34"/>
      <c r="AA51" s="34"/>
      <c r="AB51" s="45"/>
    </row>
    <row r="52" spans="1:28">
      <c r="A52" s="42" t="s">
        <v>10</v>
      </c>
      <c r="B52" s="50">
        <v>1999</v>
      </c>
      <c r="C52" s="5">
        <f>F52+G52+H52+I52</f>
        <v>340994</v>
      </c>
      <c r="D52" s="23">
        <f t="shared" si="0"/>
        <v>323703</v>
      </c>
      <c r="E52" s="20">
        <v>17291</v>
      </c>
      <c r="F52" s="2">
        <v>261860</v>
      </c>
      <c r="G52" s="2">
        <v>22849</v>
      </c>
      <c r="H52" s="2">
        <v>25088</v>
      </c>
      <c r="I52" s="75">
        <v>31197</v>
      </c>
      <c r="J52" s="37">
        <f t="shared" si="1"/>
        <v>76.793140055250248</v>
      </c>
      <c r="K52" s="40">
        <f t="shared" si="2"/>
        <v>6.7007044112213112</v>
      </c>
      <c r="L52" s="76">
        <f t="shared" si="18"/>
        <v>83.493844466471558</v>
      </c>
      <c r="M52" s="40">
        <f t="shared" ref="M52:N54" si="22">H52/Gesamt*100</f>
        <v>7.357314204942023</v>
      </c>
      <c r="N52" s="40">
        <f t="shared" si="22"/>
        <v>9.1488413285864265</v>
      </c>
      <c r="O52" s="65">
        <f t="shared" si="20"/>
        <v>5.0707637084523478</v>
      </c>
      <c r="P52" s="2">
        <f>F52*2</f>
        <v>523720</v>
      </c>
      <c r="Q52" s="2">
        <f>G52/0.85</f>
        <v>26881.176470588234</v>
      </c>
      <c r="R52" s="2">
        <f>H52/0.45</f>
        <v>55751.111111111109</v>
      </c>
      <c r="S52" s="2">
        <f>I52/0.4</f>
        <v>77992.5</v>
      </c>
      <c r="T52" s="5">
        <f>SUM(P52:S52)</f>
        <v>684344.78758169932</v>
      </c>
      <c r="U52" s="29"/>
      <c r="V52" s="23">
        <f>T52-W52</f>
        <v>649762.78758169932</v>
      </c>
      <c r="W52" s="18">
        <f>E52*2</f>
        <v>34582</v>
      </c>
      <c r="X52" s="47"/>
      <c r="Y52" s="34"/>
      <c r="Z52" s="34"/>
      <c r="AA52" s="34"/>
      <c r="AB52" s="45"/>
    </row>
    <row r="53" spans="1:28">
      <c r="A53" s="42" t="s">
        <v>11</v>
      </c>
      <c r="B53" s="50">
        <v>1999</v>
      </c>
      <c r="C53" s="5">
        <f>F53+G53+H53+I53</f>
        <v>1079866</v>
      </c>
      <c r="D53" s="23">
        <f t="shared" si="0"/>
        <v>1039344</v>
      </c>
      <c r="E53" s="20">
        <v>40522</v>
      </c>
      <c r="F53" s="2">
        <v>837008</v>
      </c>
      <c r="G53" s="2">
        <v>56944</v>
      </c>
      <c r="H53" s="2">
        <v>79028</v>
      </c>
      <c r="I53" s="75">
        <v>106886</v>
      </c>
      <c r="J53" s="37">
        <f t="shared" ref="J53:J70" si="23">F53/Gesamt*100</f>
        <v>77.510357766611776</v>
      </c>
      <c r="K53" s="40">
        <f t="shared" ref="K53:K70" si="24">G53/Gesamt*100</f>
        <v>5.2732468658148326</v>
      </c>
      <c r="L53" s="76">
        <f t="shared" si="18"/>
        <v>82.783604632426602</v>
      </c>
      <c r="M53" s="40">
        <f t="shared" si="22"/>
        <v>7.3183154206170027</v>
      </c>
      <c r="N53" s="40">
        <f t="shared" si="22"/>
        <v>9.8980799469563809</v>
      </c>
      <c r="O53" s="65">
        <f t="shared" si="20"/>
        <v>3.752502625325735</v>
      </c>
      <c r="P53" s="2">
        <f>F53*2</f>
        <v>1674016</v>
      </c>
      <c r="Q53" s="2">
        <f>G53/0.85</f>
        <v>66992.941176470587</v>
      </c>
      <c r="R53" s="2">
        <f>H53/0.45</f>
        <v>175617.77777777778</v>
      </c>
      <c r="S53" s="2">
        <f>I53/0.4</f>
        <v>267215</v>
      </c>
      <c r="T53" s="5">
        <f>SUM(P53:S53)</f>
        <v>2183841.7189542484</v>
      </c>
      <c r="U53" s="29"/>
      <c r="V53" s="23">
        <f>T53-W53</f>
        <v>2102797.7189542484</v>
      </c>
      <c r="W53" s="18">
        <f>E53*2</f>
        <v>81044</v>
      </c>
      <c r="X53" s="47"/>
      <c r="Y53" s="34"/>
      <c r="Z53" s="34"/>
      <c r="AA53" s="34"/>
      <c r="AB53" s="45"/>
    </row>
    <row r="54" spans="1:28" ht="12.6" thickBot="1">
      <c r="A54" s="42" t="s">
        <v>12</v>
      </c>
      <c r="B54" s="50">
        <v>1999</v>
      </c>
      <c r="C54" s="5">
        <f>F54+G54+H54+I54</f>
        <v>495742</v>
      </c>
      <c r="D54" s="23">
        <f t="shared" si="0"/>
        <v>415271</v>
      </c>
      <c r="E54" s="20">
        <v>80471</v>
      </c>
      <c r="F54" s="2">
        <v>257575</v>
      </c>
      <c r="G54" s="2">
        <v>20216</v>
      </c>
      <c r="H54" s="2">
        <v>23238</v>
      </c>
      <c r="I54" s="75">
        <v>194713</v>
      </c>
      <c r="J54" s="37">
        <f t="shared" si="23"/>
        <v>51.957469812926881</v>
      </c>
      <c r="K54" s="40">
        <f t="shared" si="24"/>
        <v>4.0779276317116562</v>
      </c>
      <c r="L54" s="76">
        <f t="shared" si="18"/>
        <v>56.035397444638534</v>
      </c>
      <c r="M54" s="40">
        <f t="shared" si="22"/>
        <v>4.6875189110464719</v>
      </c>
      <c r="N54" s="40">
        <f t="shared" si="22"/>
        <v>39.277083644314985</v>
      </c>
      <c r="O54" s="65">
        <f t="shared" si="20"/>
        <v>16.232435420037035</v>
      </c>
      <c r="P54" s="2">
        <f>F54*2</f>
        <v>515150</v>
      </c>
      <c r="Q54" s="2">
        <f>G54/0.85</f>
        <v>23783.529411764706</v>
      </c>
      <c r="R54" s="2">
        <f>H54/0.45</f>
        <v>51640</v>
      </c>
      <c r="S54" s="2">
        <f>I54/0.4</f>
        <v>486782.5</v>
      </c>
      <c r="T54" s="5">
        <f>SUM(P54:S54)</f>
        <v>1077356.0294117648</v>
      </c>
      <c r="U54" s="29"/>
      <c r="V54" s="23">
        <f>T54-W54</f>
        <v>916414.02941176482</v>
      </c>
      <c r="W54" s="18">
        <f>E54*2</f>
        <v>160942</v>
      </c>
      <c r="X54" s="47"/>
      <c r="Y54" s="34"/>
      <c r="Z54" s="34"/>
      <c r="AA54" s="34"/>
      <c r="AB54" s="45"/>
    </row>
    <row r="55" spans="1:28" s="62" customFormat="1" ht="15.6" thickTop="1" thickBot="1">
      <c r="A55" s="69" t="s">
        <v>21</v>
      </c>
      <c r="B55" s="52">
        <v>1999</v>
      </c>
      <c r="C55" s="54">
        <f>SUM(C51:C54)</f>
        <v>2191165</v>
      </c>
      <c r="D55" s="55">
        <f t="shared" ref="D55:D70" si="25">C55-E55</f>
        <v>2000809</v>
      </c>
      <c r="E55" s="58">
        <f>SUM(E51:E54)</f>
        <v>190356</v>
      </c>
      <c r="F55" s="53">
        <f>SUM(F51:F54)</f>
        <v>1548256</v>
      </c>
      <c r="G55" s="53">
        <f>SUM(G51:G54)</f>
        <v>123604</v>
      </c>
      <c r="H55" s="53">
        <f>SUM(H51:H54)</f>
        <v>161813</v>
      </c>
      <c r="I55" s="57">
        <f>SUM(I51:I54)</f>
        <v>357492</v>
      </c>
      <c r="J55" s="56">
        <f t="shared" si="23"/>
        <v>70.65903298017264</v>
      </c>
      <c r="K55" s="56">
        <f t="shared" si="24"/>
        <v>5.6410174496215486</v>
      </c>
      <c r="L55" s="56">
        <f t="shared" si="18"/>
        <v>76.300050429794183</v>
      </c>
      <c r="M55" s="56">
        <f t="shared" ref="M55:M70" si="26">H55/Gesamt*100</f>
        <v>7.3847930210641373</v>
      </c>
      <c r="N55" s="56">
        <f t="shared" ref="N55:N70" si="27">I55/Gesamt*100</f>
        <v>16.315156549141665</v>
      </c>
      <c r="O55" s="66">
        <f t="shared" si="20"/>
        <v>8.6874333973023479</v>
      </c>
      <c r="P55" s="53">
        <f>SUM(P51:P54)</f>
        <v>3096512</v>
      </c>
      <c r="Q55" s="53">
        <f>SUM(Q51:Q54)</f>
        <v>145416.4705882353</v>
      </c>
      <c r="R55" s="53">
        <f>SUM(R51:R54)</f>
        <v>359584.44444444444</v>
      </c>
      <c r="S55" s="53">
        <f>SUM(S51:S54)</f>
        <v>893730</v>
      </c>
      <c r="T55" s="54">
        <f>SUM(T51:T54)</f>
        <v>4495242.9150326792</v>
      </c>
      <c r="U55" s="57">
        <f>T55/T50*100</f>
        <v>109.36776489062505</v>
      </c>
      <c r="V55" s="55">
        <f>SUM(V51:V54)</f>
        <v>4114530.9150326797</v>
      </c>
      <c r="W55" s="58">
        <f>SUM(W51:W54)</f>
        <v>380712</v>
      </c>
      <c r="X55" s="59">
        <f>P55/T55*100</f>
        <v>68.884197328799729</v>
      </c>
      <c r="Y55" s="60">
        <f>Q55/T55*100</f>
        <v>3.2348968306460959</v>
      </c>
      <c r="Z55" s="60">
        <f>R55/T55*100</f>
        <v>7.9992216492227177</v>
      </c>
      <c r="AA55" s="60">
        <f>S55/T55*100</f>
        <v>19.881684191331466</v>
      </c>
      <c r="AB55" s="61">
        <f>W55/T55*100</f>
        <v>8.4692197328613616</v>
      </c>
    </row>
    <row r="56" spans="1:28" ht="12.6" thickTop="1">
      <c r="A56" s="42" t="s">
        <v>9</v>
      </c>
      <c r="B56" s="50">
        <v>2000</v>
      </c>
      <c r="C56" s="5">
        <f>F56+G56+H56+I56</f>
        <v>263983</v>
      </c>
      <c r="D56" s="23">
        <f t="shared" si="25"/>
        <v>224176</v>
      </c>
      <c r="E56" s="20">
        <v>39807</v>
      </c>
      <c r="F56" s="2">
        <v>194920</v>
      </c>
      <c r="G56" s="2">
        <v>23369</v>
      </c>
      <c r="H56" s="2">
        <v>24470</v>
      </c>
      <c r="I56" s="75">
        <v>21224</v>
      </c>
      <c r="J56" s="37">
        <f t="shared" si="23"/>
        <v>73.838088058700748</v>
      </c>
      <c r="K56" s="40">
        <f t="shared" si="24"/>
        <v>8.85246398442324</v>
      </c>
      <c r="L56" s="76">
        <f t="shared" ref="L56:L70" si="28">SUM(J56:K56)</f>
        <v>82.690552043123986</v>
      </c>
      <c r="M56" s="40">
        <f t="shared" si="26"/>
        <v>9.2695362958978418</v>
      </c>
      <c r="N56" s="40">
        <f t="shared" si="27"/>
        <v>8.0399116609781682</v>
      </c>
      <c r="O56" s="65">
        <f t="shared" ref="O56:O70" si="29">E56/Gesamt*100</f>
        <v>15.079380111598095</v>
      </c>
      <c r="P56" s="2">
        <f>F56*2</f>
        <v>389840</v>
      </c>
      <c r="Q56" s="2">
        <f>G56/0.85</f>
        <v>27492.941176470587</v>
      </c>
      <c r="R56" s="2">
        <f>H56/0.45</f>
        <v>54377.777777777774</v>
      </c>
      <c r="S56" s="2">
        <f>I56/0.4</f>
        <v>53060</v>
      </c>
      <c r="T56" s="5">
        <f>SUM(P56:S56)</f>
        <v>524770.71895424835</v>
      </c>
      <c r="U56" s="29"/>
      <c r="V56" s="23">
        <f>T56-W56</f>
        <v>445156.71895424835</v>
      </c>
      <c r="W56" s="18">
        <f>E56*2</f>
        <v>79614</v>
      </c>
      <c r="X56" s="47"/>
      <c r="Y56" s="34"/>
      <c r="Z56" s="34"/>
      <c r="AA56" s="34"/>
      <c r="AB56" s="45"/>
    </row>
    <row r="57" spans="1:28">
      <c r="A57" s="42" t="s">
        <v>10</v>
      </c>
      <c r="B57" s="50">
        <v>2000</v>
      </c>
      <c r="C57" s="5">
        <f>F57+G57+H57+I57</f>
        <v>429480</v>
      </c>
      <c r="D57" s="23">
        <f t="shared" si="25"/>
        <v>417902</v>
      </c>
      <c r="E57" s="20">
        <v>11578</v>
      </c>
      <c r="F57" s="2">
        <v>339011</v>
      </c>
      <c r="G57" s="2">
        <v>27050</v>
      </c>
      <c r="H57" s="2">
        <v>26711</v>
      </c>
      <c r="I57" s="75">
        <v>36708</v>
      </c>
      <c r="J57" s="37">
        <f t="shared" si="23"/>
        <v>78.935223991804037</v>
      </c>
      <c r="K57" s="40">
        <f t="shared" si="24"/>
        <v>6.2983142404768557</v>
      </c>
      <c r="L57" s="76">
        <f t="shared" si="28"/>
        <v>85.233538232280893</v>
      </c>
      <c r="M57" s="40">
        <f t="shared" si="26"/>
        <v>6.2193815777218964</v>
      </c>
      <c r="N57" s="40">
        <f t="shared" si="27"/>
        <v>8.5470801899972049</v>
      </c>
      <c r="O57" s="65">
        <f t="shared" si="29"/>
        <v>2.6958181987519794</v>
      </c>
      <c r="P57" s="2">
        <f>F57*2</f>
        <v>678022</v>
      </c>
      <c r="Q57" s="2">
        <f>G57/0.85</f>
        <v>31823.529411764706</v>
      </c>
      <c r="R57" s="2">
        <f>H57/0.45</f>
        <v>59357.777777777774</v>
      </c>
      <c r="S57" s="2">
        <f>I57/0.4</f>
        <v>91770</v>
      </c>
      <c r="T57" s="5">
        <f>SUM(P57:S57)</f>
        <v>860973.30718954245</v>
      </c>
      <c r="U57" s="29"/>
      <c r="V57" s="23">
        <f>T57-W57</f>
        <v>837817.30718954245</v>
      </c>
      <c r="W57" s="18">
        <f>E57*2</f>
        <v>23156</v>
      </c>
      <c r="X57" s="47"/>
      <c r="Y57" s="34"/>
      <c r="Z57" s="34"/>
      <c r="AA57" s="34"/>
      <c r="AB57" s="45"/>
    </row>
    <row r="58" spans="1:28">
      <c r="A58" s="42" t="s">
        <v>11</v>
      </c>
      <c r="B58" s="50">
        <v>2000</v>
      </c>
      <c r="C58" s="5">
        <f>F58+G58+H58+I58</f>
        <v>1149718</v>
      </c>
      <c r="D58" s="23">
        <f t="shared" si="25"/>
        <v>1105296</v>
      </c>
      <c r="E58" s="20">
        <v>44422</v>
      </c>
      <c r="F58" s="2">
        <v>877390</v>
      </c>
      <c r="G58" s="2">
        <v>58623</v>
      </c>
      <c r="H58" s="2">
        <v>88561</v>
      </c>
      <c r="I58" s="75">
        <v>125144</v>
      </c>
      <c r="J58" s="37">
        <f t="shared" si="23"/>
        <v>76.313496005107339</v>
      </c>
      <c r="K58" s="40">
        <f t="shared" si="24"/>
        <v>5.0989025134859158</v>
      </c>
      <c r="L58" s="76">
        <f t="shared" si="28"/>
        <v>81.41239851859325</v>
      </c>
      <c r="M58" s="40">
        <f t="shared" si="26"/>
        <v>7.7028453933921188</v>
      </c>
      <c r="N58" s="40">
        <f t="shared" si="27"/>
        <v>10.884756088014626</v>
      </c>
      <c r="O58" s="65">
        <f t="shared" si="29"/>
        <v>3.8637300625022832</v>
      </c>
      <c r="P58" s="2">
        <f>F58*2</f>
        <v>1754780</v>
      </c>
      <c r="Q58" s="2">
        <f>G58/0.85</f>
        <v>68968.23529411765</v>
      </c>
      <c r="R58" s="2">
        <f>H58/0.45</f>
        <v>196802.22222222222</v>
      </c>
      <c r="S58" s="2">
        <f>I58/0.4</f>
        <v>312860</v>
      </c>
      <c r="T58" s="5">
        <f>SUM(P58:S58)</f>
        <v>2333410.4575163396</v>
      </c>
      <c r="U58" s="29"/>
      <c r="V58" s="23">
        <f>T58-W58</f>
        <v>2244566.4575163396</v>
      </c>
      <c r="W58" s="18">
        <f>E58*2</f>
        <v>88844</v>
      </c>
      <c r="X58" s="47"/>
      <c r="Y58" s="34"/>
      <c r="Z58" s="34"/>
      <c r="AA58" s="34"/>
      <c r="AB58" s="45"/>
    </row>
    <row r="59" spans="1:28" ht="12.6" thickBot="1">
      <c r="A59" s="42" t="s">
        <v>12</v>
      </c>
      <c r="B59" s="50">
        <v>2000</v>
      </c>
      <c r="C59" s="5">
        <f>F59+G59+H59+I59</f>
        <v>431605</v>
      </c>
      <c r="D59" s="23">
        <f t="shared" si="25"/>
        <v>342068</v>
      </c>
      <c r="E59" s="20">
        <v>89537</v>
      </c>
      <c r="F59" s="2">
        <v>213379</v>
      </c>
      <c r="G59" s="2">
        <v>17261</v>
      </c>
      <c r="H59" s="2">
        <v>14142</v>
      </c>
      <c r="I59" s="75">
        <v>186823</v>
      </c>
      <c r="J59" s="37">
        <f t="shared" si="23"/>
        <v>49.438491213030431</v>
      </c>
      <c r="K59" s="40">
        <f t="shared" si="24"/>
        <v>3.9992585813417358</v>
      </c>
      <c r="L59" s="76">
        <f t="shared" si="28"/>
        <v>53.437749794372166</v>
      </c>
      <c r="M59" s="40">
        <f t="shared" si="26"/>
        <v>3.2766070828651199</v>
      </c>
      <c r="N59" s="40">
        <f t="shared" si="27"/>
        <v>43.285643122762714</v>
      </c>
      <c r="O59" s="65">
        <f t="shared" si="29"/>
        <v>20.745125751555239</v>
      </c>
      <c r="P59" s="2">
        <f>F59*2</f>
        <v>426758</v>
      </c>
      <c r="Q59" s="2">
        <f>G59/0.85</f>
        <v>20307.058823529413</v>
      </c>
      <c r="R59" s="2">
        <f>H59/0.45</f>
        <v>31426.666666666664</v>
      </c>
      <c r="S59" s="2">
        <f>I59/0.4</f>
        <v>467057.5</v>
      </c>
      <c r="T59" s="5">
        <f>SUM(P59:S59)</f>
        <v>945549.22549019614</v>
      </c>
      <c r="U59" s="29"/>
      <c r="V59" s="23">
        <f>T59-W59</f>
        <v>766475.22549019614</v>
      </c>
      <c r="W59" s="18">
        <f>E59*2</f>
        <v>179074</v>
      </c>
      <c r="X59" s="47"/>
      <c r="Y59" s="34"/>
      <c r="Z59" s="34"/>
      <c r="AA59" s="34"/>
      <c r="AB59" s="45"/>
    </row>
    <row r="60" spans="1:28" s="62" customFormat="1" ht="15.6" thickTop="1" thickBot="1">
      <c r="A60" s="69" t="s">
        <v>21</v>
      </c>
      <c r="B60" s="52">
        <v>2000</v>
      </c>
      <c r="C60" s="54">
        <f>SUM(C56:C59)</f>
        <v>2274786</v>
      </c>
      <c r="D60" s="55">
        <f t="shared" si="25"/>
        <v>2089442</v>
      </c>
      <c r="E60" s="58">
        <f>SUM(E56:E59)</f>
        <v>185344</v>
      </c>
      <c r="F60" s="53">
        <f>SUM(F56:F59)</f>
        <v>1624700</v>
      </c>
      <c r="G60" s="53">
        <f>SUM(G56:G59)</f>
        <v>126303</v>
      </c>
      <c r="H60" s="53">
        <f>SUM(H56:H59)</f>
        <v>153884</v>
      </c>
      <c r="I60" s="57">
        <f>SUM(I56:I59)</f>
        <v>369899</v>
      </c>
      <c r="J60" s="56">
        <f t="shared" si="23"/>
        <v>71.422103002216474</v>
      </c>
      <c r="K60" s="56">
        <f t="shared" si="24"/>
        <v>5.5523025023013153</v>
      </c>
      <c r="L60" s="56">
        <f t="shared" si="28"/>
        <v>76.97440550451779</v>
      </c>
      <c r="M60" s="56">
        <f t="shared" si="26"/>
        <v>6.7647682023715641</v>
      </c>
      <c r="N60" s="56">
        <f t="shared" si="27"/>
        <v>16.260826293110647</v>
      </c>
      <c r="O60" s="66">
        <f t="shared" si="29"/>
        <v>8.1477554372147534</v>
      </c>
      <c r="P60" s="53">
        <f>SUM(P56:P59)</f>
        <v>3249400</v>
      </c>
      <c r="Q60" s="53">
        <f>SUM(Q56:Q59)</f>
        <v>148591.76470588235</v>
      </c>
      <c r="R60" s="53">
        <f>SUM(R56:R59)</f>
        <v>341964.44444444444</v>
      </c>
      <c r="S60" s="53">
        <f>SUM(S56:S59)</f>
        <v>924747.5</v>
      </c>
      <c r="T60" s="54">
        <f>SUM(T56:T59)</f>
        <v>4664703.7091503264</v>
      </c>
      <c r="U60" s="57">
        <f>T60/T55*100</f>
        <v>103.7697805729463</v>
      </c>
      <c r="V60" s="55">
        <f>SUM(V56:V59)</f>
        <v>4294015.7091503264</v>
      </c>
      <c r="W60" s="58">
        <f>SUM(W56:W59)</f>
        <v>370688</v>
      </c>
      <c r="X60" s="59">
        <f>P60/T60*100</f>
        <v>69.659301053268337</v>
      </c>
      <c r="Y60" s="60">
        <f>Q60/T60*100</f>
        <v>3.1854491511305074</v>
      </c>
      <c r="Z60" s="60">
        <f>R60/T60*100</f>
        <v>7.3308931449095853</v>
      </c>
      <c r="AA60" s="60">
        <f>S60/T60*100</f>
        <v>19.824356650691591</v>
      </c>
      <c r="AB60" s="61">
        <f>W60/T60*100</f>
        <v>7.9466569178414259</v>
      </c>
    </row>
    <row r="61" spans="1:28" ht="12.6" thickTop="1">
      <c r="A61" s="42" t="s">
        <v>9</v>
      </c>
      <c r="B61" s="50">
        <v>2001</v>
      </c>
      <c r="C61" s="5">
        <f>F61+G61+H61+I61</f>
        <v>237655</v>
      </c>
      <c r="D61" s="23">
        <f t="shared" si="25"/>
        <v>212685</v>
      </c>
      <c r="E61" s="20">
        <v>24970</v>
      </c>
      <c r="F61" s="2">
        <v>171402</v>
      </c>
      <c r="G61" s="2">
        <v>15169</v>
      </c>
      <c r="H61" s="2">
        <v>28668</v>
      </c>
      <c r="I61" s="75">
        <v>22416</v>
      </c>
      <c r="J61" s="37">
        <f t="shared" si="23"/>
        <v>72.122193936588758</v>
      </c>
      <c r="K61" s="40">
        <f t="shared" si="24"/>
        <v>6.3827817634806756</v>
      </c>
      <c r="L61" s="76">
        <f t="shared" si="28"/>
        <v>78.504975700069437</v>
      </c>
      <c r="M61" s="40">
        <f t="shared" si="26"/>
        <v>12.062864235972313</v>
      </c>
      <c r="N61" s="40">
        <f t="shared" si="27"/>
        <v>9.4321600639582588</v>
      </c>
      <c r="O61" s="65">
        <f t="shared" si="29"/>
        <v>10.506827123351076</v>
      </c>
      <c r="P61" s="2">
        <f>F61*2</f>
        <v>342804</v>
      </c>
      <c r="Q61" s="2">
        <f>G61/0.85</f>
        <v>17845.882352941178</v>
      </c>
      <c r="R61" s="2">
        <f>H61/0.45</f>
        <v>63706.666666666664</v>
      </c>
      <c r="S61" s="2">
        <f>I61/0.4</f>
        <v>56040</v>
      </c>
      <c r="T61" s="5">
        <f>SUM(P61:S61)</f>
        <v>480396.54901960789</v>
      </c>
      <c r="U61" s="29"/>
      <c r="V61" s="23">
        <f>T61-W61</f>
        <v>430456.54901960789</v>
      </c>
      <c r="W61" s="18">
        <f>E61*2</f>
        <v>49940</v>
      </c>
      <c r="X61" s="47"/>
      <c r="Y61" s="34"/>
      <c r="Z61" s="34"/>
      <c r="AA61" s="34"/>
      <c r="AB61" s="45"/>
    </row>
    <row r="62" spans="1:28">
      <c r="A62" s="42" t="s">
        <v>10</v>
      </c>
      <c r="B62" s="50">
        <v>2001</v>
      </c>
      <c r="C62" s="5">
        <f>F62+G62+H62+I62</f>
        <v>351778</v>
      </c>
      <c r="D62" s="23">
        <f t="shared" si="25"/>
        <v>339974</v>
      </c>
      <c r="E62" s="20">
        <v>11804</v>
      </c>
      <c r="F62" s="2">
        <v>267218</v>
      </c>
      <c r="G62" s="2">
        <v>21224</v>
      </c>
      <c r="H62" s="2">
        <v>20139</v>
      </c>
      <c r="I62" s="75">
        <v>43197</v>
      </c>
      <c r="J62" s="37">
        <f t="shared" si="23"/>
        <v>75.962112468659214</v>
      </c>
      <c r="K62" s="40">
        <f t="shared" si="24"/>
        <v>6.0333505790583839</v>
      </c>
      <c r="L62" s="76">
        <f t="shared" si="28"/>
        <v>81.995463047717593</v>
      </c>
      <c r="M62" s="40">
        <f t="shared" si="26"/>
        <v>5.7249174195088948</v>
      </c>
      <c r="N62" s="40">
        <f t="shared" si="27"/>
        <v>12.279619532773509</v>
      </c>
      <c r="O62" s="65">
        <f t="shared" si="29"/>
        <v>3.3555253597439294</v>
      </c>
      <c r="P62" s="2">
        <f>F62*2</f>
        <v>534436</v>
      </c>
      <c r="Q62" s="2">
        <f>G62/0.85</f>
        <v>24969.411764705885</v>
      </c>
      <c r="R62" s="2">
        <f>H62/0.45</f>
        <v>44753.333333333336</v>
      </c>
      <c r="S62" s="2">
        <f>I62/0.4</f>
        <v>107992.5</v>
      </c>
      <c r="T62" s="5">
        <f>SUM(P62:S62)</f>
        <v>712151.24509803928</v>
      </c>
      <c r="U62" s="29"/>
      <c r="V62" s="23">
        <f>T62-W62</f>
        <v>688543.24509803928</v>
      </c>
      <c r="W62" s="18">
        <f>E62*2</f>
        <v>23608</v>
      </c>
      <c r="X62" s="47"/>
      <c r="Y62" s="34"/>
      <c r="Z62" s="34"/>
      <c r="AA62" s="34"/>
      <c r="AB62" s="45"/>
    </row>
    <row r="63" spans="1:28">
      <c r="A63" s="42" t="s">
        <v>11</v>
      </c>
      <c r="B63" s="50">
        <v>2001</v>
      </c>
      <c r="C63" s="5">
        <f>F63+G63+H63+I63</f>
        <v>1240070</v>
      </c>
      <c r="D63" s="23">
        <f t="shared" si="25"/>
        <v>1178650</v>
      </c>
      <c r="E63" s="20">
        <v>61420</v>
      </c>
      <c r="F63" s="2">
        <v>983956</v>
      </c>
      <c r="G63" s="2">
        <v>58962</v>
      </c>
      <c r="H63" s="2">
        <v>86071</v>
      </c>
      <c r="I63" s="75">
        <v>111081</v>
      </c>
      <c r="J63" s="37">
        <f t="shared" si="23"/>
        <v>79.346811067117173</v>
      </c>
      <c r="K63" s="40">
        <f t="shared" si="24"/>
        <v>4.7547315877329508</v>
      </c>
      <c r="L63" s="76">
        <f t="shared" si="28"/>
        <v>84.101542654850121</v>
      </c>
      <c r="M63" s="40">
        <f t="shared" si="26"/>
        <v>6.9408178570564569</v>
      </c>
      <c r="N63" s="40">
        <f t="shared" si="27"/>
        <v>8.9576394880934131</v>
      </c>
      <c r="O63" s="65">
        <f t="shared" si="29"/>
        <v>4.952946204649737</v>
      </c>
      <c r="P63" s="2">
        <f>F63*2</f>
        <v>1967912</v>
      </c>
      <c r="Q63" s="2">
        <f>G63/0.85</f>
        <v>69367.058823529413</v>
      </c>
      <c r="R63" s="2">
        <f>H63/0.45</f>
        <v>191268.88888888888</v>
      </c>
      <c r="S63" s="2">
        <f>I63/0.4</f>
        <v>277702.5</v>
      </c>
      <c r="T63" s="5">
        <f>SUM(P63:S63)</f>
        <v>2506250.4477124182</v>
      </c>
      <c r="U63" s="29"/>
      <c r="V63" s="23">
        <f>T63-W63</f>
        <v>2383410.4477124182</v>
      </c>
      <c r="W63" s="18">
        <f>E63*2</f>
        <v>122840</v>
      </c>
      <c r="X63" s="47"/>
      <c r="Y63" s="34"/>
      <c r="Z63" s="34"/>
      <c r="AA63" s="34"/>
      <c r="AB63" s="45"/>
    </row>
    <row r="64" spans="1:28" ht="12.6" thickBot="1">
      <c r="A64" s="42" t="s">
        <v>12</v>
      </c>
      <c r="B64" s="50">
        <v>2001</v>
      </c>
      <c r="C64" s="5">
        <f>F64+G64+H64+I64</f>
        <v>449620</v>
      </c>
      <c r="D64" s="23">
        <f t="shared" si="25"/>
        <v>371372</v>
      </c>
      <c r="E64" s="20">
        <v>78248</v>
      </c>
      <c r="F64" s="2">
        <v>220222</v>
      </c>
      <c r="G64" s="2">
        <v>18596</v>
      </c>
      <c r="H64" s="2">
        <v>20255</v>
      </c>
      <c r="I64" s="75">
        <v>190547</v>
      </c>
      <c r="J64" s="37">
        <f t="shared" si="23"/>
        <v>48.979582758774079</v>
      </c>
      <c r="K64" s="40">
        <f t="shared" si="24"/>
        <v>4.1359370134780482</v>
      </c>
      <c r="L64" s="76">
        <f t="shared" si="28"/>
        <v>53.115519772252128</v>
      </c>
      <c r="M64" s="40">
        <f t="shared" si="26"/>
        <v>4.5049152617766115</v>
      </c>
      <c r="N64" s="40">
        <f t="shared" si="27"/>
        <v>42.379564965971269</v>
      </c>
      <c r="O64" s="65">
        <f t="shared" si="29"/>
        <v>17.403140429696187</v>
      </c>
      <c r="P64" s="2">
        <f>F64*2</f>
        <v>440444</v>
      </c>
      <c r="Q64" s="2">
        <f>G64/0.85</f>
        <v>21877.647058823532</v>
      </c>
      <c r="R64" s="2">
        <f>H64/0.45</f>
        <v>45011.111111111109</v>
      </c>
      <c r="S64" s="2">
        <f>I64/0.4</f>
        <v>476367.5</v>
      </c>
      <c r="T64" s="5">
        <f>SUM(P64:S64)</f>
        <v>983700.25816993462</v>
      </c>
      <c r="U64" s="29"/>
      <c r="V64" s="23">
        <f>T64-W64</f>
        <v>827204.25816993462</v>
      </c>
      <c r="W64" s="18">
        <f>E64*2</f>
        <v>156496</v>
      </c>
      <c r="X64" s="47"/>
      <c r="Y64" s="34"/>
      <c r="Z64" s="34"/>
      <c r="AA64" s="34"/>
      <c r="AB64" s="45"/>
    </row>
    <row r="65" spans="1:28" s="62" customFormat="1" ht="15.6" thickTop="1" thickBot="1">
      <c r="A65" s="69" t="s">
        <v>21</v>
      </c>
      <c r="B65" s="52">
        <v>2001</v>
      </c>
      <c r="C65" s="54">
        <f>SUM(C61:C64)</f>
        <v>2279123</v>
      </c>
      <c r="D65" s="55">
        <f t="shared" si="25"/>
        <v>2102681</v>
      </c>
      <c r="E65" s="58">
        <f>SUM(E61:E64)</f>
        <v>176442</v>
      </c>
      <c r="F65" s="53">
        <f>SUM(F61:F64)</f>
        <v>1642798</v>
      </c>
      <c r="G65" s="53">
        <f>SUM(G61:G64)</f>
        <v>113951</v>
      </c>
      <c r="H65" s="53">
        <f>SUM(H61:H64)</f>
        <v>155133</v>
      </c>
      <c r="I65" s="57">
        <f>SUM(I61:I64)</f>
        <v>367241</v>
      </c>
      <c r="J65" s="56">
        <f t="shared" si="23"/>
        <v>72.08026947207324</v>
      </c>
      <c r="K65" s="56">
        <f t="shared" si="24"/>
        <v>4.9997740358901206</v>
      </c>
      <c r="L65" s="56">
        <f t="shared" si="28"/>
        <v>77.080043507963367</v>
      </c>
      <c r="M65" s="56">
        <f t="shared" si="26"/>
        <v>6.8066971374515548</v>
      </c>
      <c r="N65" s="56">
        <f t="shared" si="27"/>
        <v>16.113259354585075</v>
      </c>
      <c r="O65" s="66">
        <f t="shared" si="29"/>
        <v>7.7416620340367768</v>
      </c>
      <c r="P65" s="53">
        <f>SUM(P61:P64)</f>
        <v>3285596</v>
      </c>
      <c r="Q65" s="53">
        <f>SUM(Q61:Q64)</f>
        <v>134060</v>
      </c>
      <c r="R65" s="53">
        <f>SUM(R61:R64)</f>
        <v>344740</v>
      </c>
      <c r="S65" s="53">
        <f>SUM(S61:S64)</f>
        <v>918102.5</v>
      </c>
      <c r="T65" s="54">
        <f>SUM(T61:T64)</f>
        <v>4682498.5</v>
      </c>
      <c r="U65" s="57">
        <f>T65/T60*100</f>
        <v>100.38147740905316</v>
      </c>
      <c r="V65" s="55">
        <f>SUM(V61:V64)</f>
        <v>4329614.5</v>
      </c>
      <c r="W65" s="58">
        <f>SUM(W61:W64)</f>
        <v>352884</v>
      </c>
      <c r="X65" s="59">
        <f>P65/T65*100</f>
        <v>70.167582541670853</v>
      </c>
      <c r="Y65" s="60">
        <f>Q65/T65*100</f>
        <v>2.8630014510415753</v>
      </c>
      <c r="Z65" s="60">
        <f>R65/T65*100</f>
        <v>7.3623088186787466</v>
      </c>
      <c r="AA65" s="60">
        <f>S65/T65*100</f>
        <v>19.607107188608815</v>
      </c>
      <c r="AB65" s="61">
        <f>W65/T65*100</f>
        <v>7.5362330601921173</v>
      </c>
    </row>
    <row r="66" spans="1:28" ht="12.6" thickTop="1">
      <c r="A66" s="42" t="s">
        <v>9</v>
      </c>
      <c r="B66" s="50">
        <v>2002</v>
      </c>
      <c r="C66" s="5">
        <f>F66+G66+H66+I66</f>
        <v>326056</v>
      </c>
      <c r="D66" s="23">
        <f t="shared" si="25"/>
        <v>285476</v>
      </c>
      <c r="E66" s="20">
        <v>40580</v>
      </c>
      <c r="F66" s="2">
        <v>227904</v>
      </c>
      <c r="G66" s="2">
        <v>22811</v>
      </c>
      <c r="H66" s="2">
        <v>46737</v>
      </c>
      <c r="I66" s="75">
        <v>28604</v>
      </c>
      <c r="J66" s="37">
        <f t="shared" si="23"/>
        <v>69.897195573766467</v>
      </c>
      <c r="K66" s="40">
        <f t="shared" si="24"/>
        <v>6.996037490492431</v>
      </c>
      <c r="L66" s="76">
        <f t="shared" si="28"/>
        <v>76.893233064258894</v>
      </c>
      <c r="M66" s="40">
        <f t="shared" si="26"/>
        <v>14.334040778271218</v>
      </c>
      <c r="N66" s="40">
        <f t="shared" si="27"/>
        <v>8.7727261574698829</v>
      </c>
      <c r="O66" s="65">
        <f t="shared" si="29"/>
        <v>12.44571484652943</v>
      </c>
      <c r="P66" s="2">
        <f>F66*2</f>
        <v>455808</v>
      </c>
      <c r="Q66" s="2">
        <f>G66/0.85</f>
        <v>26836.470588235294</v>
      </c>
      <c r="R66" s="2">
        <f>H66/0.45</f>
        <v>103860</v>
      </c>
      <c r="S66" s="2">
        <f>I66/0.4</f>
        <v>71510</v>
      </c>
      <c r="T66" s="5">
        <f>SUM(P66:S66)</f>
        <v>658014.4705882353</v>
      </c>
      <c r="U66" s="29"/>
      <c r="V66" s="23">
        <f>T66-W66</f>
        <v>576854.4705882353</v>
      </c>
      <c r="W66" s="18">
        <f>E66*2</f>
        <v>81160</v>
      </c>
      <c r="X66" s="47"/>
      <c r="Y66" s="34"/>
      <c r="Z66" s="34"/>
      <c r="AA66" s="34"/>
      <c r="AB66" s="45"/>
    </row>
    <row r="67" spans="1:28">
      <c r="A67" s="42" t="s">
        <v>10</v>
      </c>
      <c r="B67" s="50">
        <v>2002</v>
      </c>
      <c r="C67" s="5">
        <f>F67+G67+H67+I67</f>
        <v>376457</v>
      </c>
      <c r="D67" s="23">
        <f t="shared" si="25"/>
        <v>362105</v>
      </c>
      <c r="E67" s="20">
        <v>14352</v>
      </c>
      <c r="F67" s="2">
        <v>287823</v>
      </c>
      <c r="G67" s="2">
        <v>23647</v>
      </c>
      <c r="H67" s="2">
        <v>27858</v>
      </c>
      <c r="I67" s="75">
        <v>37129</v>
      </c>
      <c r="J67" s="37">
        <f t="shared" si="23"/>
        <v>76.455743949508175</v>
      </c>
      <c r="K67" s="40">
        <f t="shared" si="24"/>
        <v>6.281461096486451</v>
      </c>
      <c r="L67" s="76">
        <f t="shared" si="28"/>
        <v>82.737205045994628</v>
      </c>
      <c r="M67" s="40">
        <f t="shared" si="26"/>
        <v>7.4000483454949713</v>
      </c>
      <c r="N67" s="40">
        <f t="shared" si="27"/>
        <v>9.8627466085104007</v>
      </c>
      <c r="O67" s="65">
        <f t="shared" si="29"/>
        <v>3.812387603365059</v>
      </c>
      <c r="P67" s="2">
        <f>F67*2</f>
        <v>575646</v>
      </c>
      <c r="Q67" s="2">
        <f>G67/0.85</f>
        <v>27820</v>
      </c>
      <c r="R67" s="2">
        <f>H67/0.45</f>
        <v>61906.666666666664</v>
      </c>
      <c r="S67" s="2">
        <f>I67/0.4</f>
        <v>92822.5</v>
      </c>
      <c r="T67" s="5">
        <f>SUM(P67:S67)</f>
        <v>758195.16666666663</v>
      </c>
      <c r="U67" s="29"/>
      <c r="V67" s="23">
        <f>T67-W67</f>
        <v>729491.16666666663</v>
      </c>
      <c r="W67" s="18">
        <f>E67*2</f>
        <v>28704</v>
      </c>
      <c r="X67" s="47"/>
      <c r="Y67" s="34"/>
      <c r="Z67" s="34"/>
      <c r="AA67" s="34"/>
      <c r="AB67" s="45"/>
    </row>
    <row r="68" spans="1:28">
      <c r="A68" s="42" t="s">
        <v>11</v>
      </c>
      <c r="B68" s="50">
        <v>2002</v>
      </c>
      <c r="C68" s="5">
        <f>F68+G68+H68+I68</f>
        <v>1009900</v>
      </c>
      <c r="D68" s="23">
        <f t="shared" si="25"/>
        <v>967188</v>
      </c>
      <c r="E68" s="20">
        <v>42712</v>
      </c>
      <c r="F68" s="2">
        <v>788699</v>
      </c>
      <c r="G68" s="2">
        <v>62339</v>
      </c>
      <c r="H68" s="2">
        <v>71579</v>
      </c>
      <c r="I68" s="75">
        <v>87283</v>
      </c>
      <c r="J68" s="37">
        <f t="shared" si="23"/>
        <v>78.096742251708079</v>
      </c>
      <c r="K68" s="40">
        <f t="shared" si="24"/>
        <v>6.1727893850876328</v>
      </c>
      <c r="L68" s="76">
        <f t="shared" si="28"/>
        <v>84.269531636795705</v>
      </c>
      <c r="M68" s="40">
        <f t="shared" si="26"/>
        <v>7.0877314585602536</v>
      </c>
      <c r="N68" s="40">
        <f t="shared" si="27"/>
        <v>8.6427369046440248</v>
      </c>
      <c r="O68" s="65">
        <f t="shared" si="29"/>
        <v>4.2293296365976829</v>
      </c>
      <c r="P68" s="2">
        <f>F68*2</f>
        <v>1577398</v>
      </c>
      <c r="Q68" s="2">
        <f>G68/0.85</f>
        <v>73340</v>
      </c>
      <c r="R68" s="2">
        <f>H68/0.45</f>
        <v>159064.44444444444</v>
      </c>
      <c r="S68" s="2">
        <f>I68/0.4</f>
        <v>218207.5</v>
      </c>
      <c r="T68" s="5">
        <f>SUM(P68:S68)</f>
        <v>2028009.9444444445</v>
      </c>
      <c r="U68" s="29"/>
      <c r="V68" s="23">
        <f>T68-W68</f>
        <v>1942585.9444444445</v>
      </c>
      <c r="W68" s="18">
        <f>E68*2</f>
        <v>85424</v>
      </c>
      <c r="X68" s="47"/>
      <c r="Y68" s="34"/>
      <c r="Z68" s="34"/>
      <c r="AA68" s="34"/>
      <c r="AB68" s="45"/>
    </row>
    <row r="69" spans="1:28" ht="12.6" thickBot="1">
      <c r="A69" s="42" t="s">
        <v>12</v>
      </c>
      <c r="B69" s="50">
        <v>2002</v>
      </c>
      <c r="C69" s="5">
        <f>F69+G69+H69+I69</f>
        <v>415794</v>
      </c>
      <c r="D69" s="23">
        <f t="shared" si="25"/>
        <v>344549</v>
      </c>
      <c r="E69" s="20">
        <v>71245</v>
      </c>
      <c r="F69" s="2">
        <v>215468</v>
      </c>
      <c r="G69" s="2">
        <v>9776</v>
      </c>
      <c r="H69" s="2">
        <v>21354</v>
      </c>
      <c r="I69" s="75">
        <v>169196</v>
      </c>
      <c r="J69" s="37">
        <f t="shared" si="23"/>
        <v>51.820853595770991</v>
      </c>
      <c r="K69" s="40">
        <f t="shared" si="24"/>
        <v>2.3511642784648168</v>
      </c>
      <c r="L69" s="76">
        <f t="shared" si="28"/>
        <v>54.172017874235806</v>
      </c>
      <c r="M69" s="40">
        <f t="shared" si="26"/>
        <v>5.1357162441016468</v>
      </c>
      <c r="N69" s="40">
        <f t="shared" si="27"/>
        <v>40.692265881662557</v>
      </c>
      <c r="O69" s="65">
        <f t="shared" si="29"/>
        <v>17.134686888218688</v>
      </c>
      <c r="P69" s="2">
        <f>F69*2</f>
        <v>430936</v>
      </c>
      <c r="Q69" s="2">
        <f>G69/0.85</f>
        <v>11501.176470588236</v>
      </c>
      <c r="R69" s="2">
        <f>H69/0.45</f>
        <v>47453.333333333336</v>
      </c>
      <c r="S69" s="2">
        <f>I69/0.4</f>
        <v>422990</v>
      </c>
      <c r="T69" s="5">
        <f>SUM(P69:S69)</f>
        <v>912880.50980392157</v>
      </c>
      <c r="U69" s="29"/>
      <c r="V69" s="23">
        <f>T69-W69</f>
        <v>770390.50980392157</v>
      </c>
      <c r="W69" s="18">
        <f>E69*2</f>
        <v>142490</v>
      </c>
      <c r="X69" s="47"/>
      <c r="Y69" s="34"/>
      <c r="Z69" s="34"/>
      <c r="AA69" s="34"/>
      <c r="AB69" s="45"/>
    </row>
    <row r="70" spans="1:28" s="62" customFormat="1" ht="15.6" thickTop="1" thickBot="1">
      <c r="A70" s="69" t="s">
        <v>21</v>
      </c>
      <c r="B70" s="52">
        <v>2002</v>
      </c>
      <c r="C70" s="54">
        <f>SUM(C66:C69)</f>
        <v>2128207</v>
      </c>
      <c r="D70" s="55">
        <f t="shared" si="25"/>
        <v>1959318</v>
      </c>
      <c r="E70" s="58">
        <f>SUM(E66:E69)</f>
        <v>168889</v>
      </c>
      <c r="F70" s="53">
        <f>SUM(F66:F69)</f>
        <v>1519894</v>
      </c>
      <c r="G70" s="53">
        <f>SUM(G66:G69)</f>
        <v>118573</v>
      </c>
      <c r="H70" s="53">
        <f>SUM(H66:H69)</f>
        <v>167528</v>
      </c>
      <c r="I70" s="57">
        <f>SUM(I66:I69)</f>
        <v>322212</v>
      </c>
      <c r="J70" s="56">
        <f t="shared" si="23"/>
        <v>71.416643211868021</v>
      </c>
      <c r="K70" s="56">
        <f t="shared" si="24"/>
        <v>5.5714975094058055</v>
      </c>
      <c r="L70" s="56">
        <f t="shared" si="28"/>
        <v>76.988140721273822</v>
      </c>
      <c r="M70" s="56">
        <f t="shared" si="26"/>
        <v>7.871790666979293</v>
      </c>
      <c r="N70" s="56">
        <f t="shared" si="27"/>
        <v>15.140068611746885</v>
      </c>
      <c r="O70" s="66">
        <f t="shared" si="29"/>
        <v>7.9357412131432703</v>
      </c>
      <c r="P70" s="53">
        <f>SUM(P66:P69)</f>
        <v>3039788</v>
      </c>
      <c r="Q70" s="53">
        <f>SUM(Q66:Q69)</f>
        <v>139497.64705882352</v>
      </c>
      <c r="R70" s="53">
        <f>SUM(R66:R69)</f>
        <v>372284.44444444444</v>
      </c>
      <c r="S70" s="53">
        <f>SUM(S66:S69)</f>
        <v>805530</v>
      </c>
      <c r="T70" s="54">
        <f>SUM(T66:T69)</f>
        <v>4357100.0915032681</v>
      </c>
      <c r="U70" s="57">
        <f>T70/T65*100</f>
        <v>93.050752531010275</v>
      </c>
      <c r="V70" s="55">
        <f>SUM(V66:V69)</f>
        <v>4019322.0915032676</v>
      </c>
      <c r="W70" s="58">
        <f>SUM(W66:W69)</f>
        <v>337778</v>
      </c>
      <c r="X70" s="59">
        <f>P70/T70*100</f>
        <v>69.766310990373086</v>
      </c>
      <c r="Y70" s="60">
        <f>Q70/T70*100</f>
        <v>3.2016167664097575</v>
      </c>
      <c r="Z70" s="60">
        <f>R70/T70*100</f>
        <v>8.544317014209339</v>
      </c>
      <c r="AA70" s="60">
        <f>S70/T70*100</f>
        <v>18.487755229007821</v>
      </c>
      <c r="AB70" s="61">
        <f>W70/T70*100</f>
        <v>7.7523580571099817</v>
      </c>
    </row>
    <row r="71" spans="1:28" ht="12.6" thickTop="1">
      <c r="A71" s="42" t="s">
        <v>9</v>
      </c>
      <c r="B71" s="50">
        <v>2003</v>
      </c>
      <c r="C71" s="5">
        <f>F71+G71+H71+I71</f>
        <v>348730</v>
      </c>
      <c r="D71" s="23">
        <f t="shared" ref="D71:D80" si="30">C71-E71</f>
        <v>311807</v>
      </c>
      <c r="E71" s="20">
        <v>36923</v>
      </c>
      <c r="F71" s="2">
        <v>240242</v>
      </c>
      <c r="G71" s="2">
        <v>23694</v>
      </c>
      <c r="H71" s="2">
        <v>49049</v>
      </c>
      <c r="I71" s="75">
        <v>35745</v>
      </c>
      <c r="J71" s="37">
        <f t="shared" ref="J71:K73" si="31">F71/Gesamt*100</f>
        <v>68.89054569437674</v>
      </c>
      <c r="K71" s="40">
        <f t="shared" si="31"/>
        <v>6.7943681358070718</v>
      </c>
      <c r="L71" s="76">
        <f t="shared" ref="L71:L80" si="32">SUM(J71:K71)</f>
        <v>75.684913830183817</v>
      </c>
      <c r="M71" s="40">
        <f t="shared" ref="M71:N73" si="33">H71/Gesamt*100</f>
        <v>14.065035987726896</v>
      </c>
      <c r="N71" s="40">
        <f t="shared" si="33"/>
        <v>10.250050182089296</v>
      </c>
      <c r="O71" s="65">
        <f t="shared" ref="O71:O80" si="34">E71/Gesamt*100</f>
        <v>10.587847331746623</v>
      </c>
      <c r="P71" s="2">
        <f>F71*2</f>
        <v>480484</v>
      </c>
      <c r="Q71" s="2">
        <f>G71/0.85</f>
        <v>27875.294117647059</v>
      </c>
      <c r="R71" s="2">
        <f>H71/0.45</f>
        <v>108997.77777777778</v>
      </c>
      <c r="S71" s="2">
        <f>I71/0.4</f>
        <v>89362.5</v>
      </c>
      <c r="T71" s="5">
        <f>SUM(P71:S71)</f>
        <v>706719.57189542486</v>
      </c>
      <c r="U71" s="29"/>
      <c r="V71" s="23">
        <f>T71-W71</f>
        <v>632873.57189542486</v>
      </c>
      <c r="W71" s="18">
        <f>E71*2</f>
        <v>73846</v>
      </c>
      <c r="X71" s="47"/>
      <c r="Y71" s="34"/>
      <c r="Z71" s="34"/>
      <c r="AA71" s="34"/>
      <c r="AB71" s="45"/>
    </row>
    <row r="72" spans="1:28">
      <c r="A72" s="42" t="s">
        <v>10</v>
      </c>
      <c r="B72" s="50">
        <v>2003</v>
      </c>
      <c r="C72" s="5">
        <f>F72+G72+H72+I72</f>
        <v>344150</v>
      </c>
      <c r="D72" s="23">
        <f t="shared" si="30"/>
        <v>336039</v>
      </c>
      <c r="E72" s="20">
        <v>8111</v>
      </c>
      <c r="F72" s="2">
        <v>263767</v>
      </c>
      <c r="G72" s="2">
        <v>21241</v>
      </c>
      <c r="H72" s="2">
        <v>14026</v>
      </c>
      <c r="I72" s="75">
        <v>45116</v>
      </c>
      <c r="J72" s="37">
        <f t="shared" si="31"/>
        <v>76.643033560947259</v>
      </c>
      <c r="K72" s="40">
        <f t="shared" si="31"/>
        <v>6.172018015400262</v>
      </c>
      <c r="L72" s="76">
        <f t="shared" si="32"/>
        <v>82.815051576347514</v>
      </c>
      <c r="M72" s="40">
        <f t="shared" si="33"/>
        <v>4.0755484527095742</v>
      </c>
      <c r="N72" s="40">
        <f t="shared" si="33"/>
        <v>13.109399970942903</v>
      </c>
      <c r="O72" s="65">
        <f t="shared" si="34"/>
        <v>2.3568211535667585</v>
      </c>
      <c r="P72" s="2">
        <f>F72*2</f>
        <v>527534</v>
      </c>
      <c r="Q72" s="2">
        <f>G72/0.85</f>
        <v>24989.411764705885</v>
      </c>
      <c r="R72" s="2">
        <f>H72/0.45</f>
        <v>31168.888888888887</v>
      </c>
      <c r="S72" s="2">
        <f>I72/0.4</f>
        <v>112790</v>
      </c>
      <c r="T72" s="5">
        <f>SUM(P72:S72)</f>
        <v>696482.30065359478</v>
      </c>
      <c r="U72" s="29"/>
      <c r="V72" s="23">
        <f>T72-W72</f>
        <v>680260.30065359478</v>
      </c>
      <c r="W72" s="18">
        <f>E72*2</f>
        <v>16222</v>
      </c>
      <c r="X72" s="47"/>
      <c r="Y72" s="34"/>
      <c r="Z72" s="34"/>
      <c r="AA72" s="34"/>
      <c r="AB72" s="45"/>
    </row>
    <row r="73" spans="1:28">
      <c r="A73" s="42" t="s">
        <v>11</v>
      </c>
      <c r="B73" s="50">
        <v>2003</v>
      </c>
      <c r="C73" s="5">
        <f>F73+G73+H73+I73</f>
        <v>996483</v>
      </c>
      <c r="D73" s="23">
        <f t="shared" si="30"/>
        <v>935859</v>
      </c>
      <c r="E73" s="20">
        <v>60624</v>
      </c>
      <c r="F73" s="2">
        <v>758638</v>
      </c>
      <c r="G73" s="2">
        <v>45122</v>
      </c>
      <c r="H73" s="2">
        <v>80647</v>
      </c>
      <c r="I73" s="75">
        <v>112076</v>
      </c>
      <c r="J73" s="37">
        <f t="shared" si="31"/>
        <v>76.13155467780183</v>
      </c>
      <c r="K73" s="40">
        <f t="shared" si="31"/>
        <v>4.5281254170919123</v>
      </c>
      <c r="L73" s="76">
        <f t="shared" si="32"/>
        <v>80.659680094893744</v>
      </c>
      <c r="M73" s="40">
        <f t="shared" si="33"/>
        <v>8.0931636565801917</v>
      </c>
      <c r="N73" s="40">
        <f t="shared" si="33"/>
        <v>11.247156248526066</v>
      </c>
      <c r="O73" s="65">
        <f t="shared" si="34"/>
        <v>6.083796713039761</v>
      </c>
      <c r="P73" s="2">
        <f>F73*2</f>
        <v>1517276</v>
      </c>
      <c r="Q73" s="2">
        <f>G73/0.85</f>
        <v>53084.705882352944</v>
      </c>
      <c r="R73" s="2">
        <f>H73/0.45</f>
        <v>179215.55555555556</v>
      </c>
      <c r="S73" s="2">
        <f>I73/0.4</f>
        <v>280190</v>
      </c>
      <c r="T73" s="5">
        <f>SUM(P73:S73)</f>
        <v>2029766.2614379085</v>
      </c>
      <c r="U73" s="29"/>
      <c r="V73" s="23">
        <f>T73-W73</f>
        <v>1908518.2614379085</v>
      </c>
      <c r="W73" s="18">
        <f>E73*2</f>
        <v>121248</v>
      </c>
      <c r="X73" s="47"/>
      <c r="Y73" s="34"/>
      <c r="Z73" s="34"/>
      <c r="AA73" s="34"/>
      <c r="AB73" s="45"/>
    </row>
    <row r="74" spans="1:28" ht="12.6" thickBot="1">
      <c r="A74" s="42" t="s">
        <v>12</v>
      </c>
      <c r="B74" s="50">
        <v>2003</v>
      </c>
      <c r="C74" s="5">
        <f>F74+G74+H74+I74</f>
        <v>493031</v>
      </c>
      <c r="D74" s="23">
        <f t="shared" si="30"/>
        <v>458113</v>
      </c>
      <c r="E74" s="20">
        <v>34918</v>
      </c>
      <c r="F74" s="2">
        <v>304141</v>
      </c>
      <c r="G74" s="2">
        <v>14097</v>
      </c>
      <c r="H74" s="2">
        <v>20149</v>
      </c>
      <c r="I74" s="75">
        <v>154644</v>
      </c>
      <c r="J74" s="37">
        <f t="shared" ref="J74:K80" si="35">F74/Gesamt*100</f>
        <v>61.68800744780755</v>
      </c>
      <c r="K74" s="40">
        <f t="shared" si="35"/>
        <v>2.8592522579716082</v>
      </c>
      <c r="L74" s="76">
        <f t="shared" si="32"/>
        <v>64.547259705779155</v>
      </c>
      <c r="M74" s="40">
        <f t="shared" ref="M74:N80" si="36">H74/Gesamt*100</f>
        <v>4.0867612787025562</v>
      </c>
      <c r="N74" s="40">
        <f t="shared" si="36"/>
        <v>31.365979015518292</v>
      </c>
      <c r="O74" s="65">
        <f t="shared" si="34"/>
        <v>7.0823132825319295</v>
      </c>
      <c r="P74" s="2">
        <f>F74*2</f>
        <v>608282</v>
      </c>
      <c r="Q74" s="2">
        <f>G74/0.85</f>
        <v>16584.705882352941</v>
      </c>
      <c r="R74" s="2">
        <f>H74/0.45</f>
        <v>44775.555555555555</v>
      </c>
      <c r="S74" s="2">
        <f>I74/0.4</f>
        <v>386610</v>
      </c>
      <c r="T74" s="5">
        <f>SUM(P74:S74)</f>
        <v>1056252.2614379083</v>
      </c>
      <c r="U74" s="29"/>
      <c r="V74" s="23">
        <f>T74-W74</f>
        <v>986416.26143790828</v>
      </c>
      <c r="W74" s="18">
        <f>E74*2</f>
        <v>69836</v>
      </c>
      <c r="X74" s="47"/>
      <c r="Y74" s="34"/>
      <c r="Z74" s="34"/>
      <c r="AA74" s="34"/>
      <c r="AB74" s="45"/>
    </row>
    <row r="75" spans="1:28" s="62" customFormat="1" ht="15.6" thickTop="1" thickBot="1">
      <c r="A75" s="69" t="s">
        <v>21</v>
      </c>
      <c r="B75" s="52">
        <v>2003</v>
      </c>
      <c r="C75" s="54">
        <f>SUM(C71:C74)</f>
        <v>2182394</v>
      </c>
      <c r="D75" s="55">
        <f t="shared" si="30"/>
        <v>2041818</v>
      </c>
      <c r="E75" s="58">
        <f>SUM(E71:E74)</f>
        <v>140576</v>
      </c>
      <c r="F75" s="53">
        <f>SUM(F71:F74)</f>
        <v>1566788</v>
      </c>
      <c r="G75" s="53">
        <f>SUM(G71:G74)</f>
        <v>104154</v>
      </c>
      <c r="H75" s="53">
        <f>SUM(H71:H74)</f>
        <v>163871</v>
      </c>
      <c r="I75" s="57">
        <f>SUM(I71:I74)</f>
        <v>347581</v>
      </c>
      <c r="J75" s="56">
        <f t="shared" si="35"/>
        <v>71.792169516595081</v>
      </c>
      <c r="K75" s="56">
        <f t="shared" si="35"/>
        <v>4.7724654668222142</v>
      </c>
      <c r="L75" s="56">
        <f t="shared" si="32"/>
        <v>76.564634983417292</v>
      </c>
      <c r="M75" s="56">
        <f t="shared" si="36"/>
        <v>7.5087724764639194</v>
      </c>
      <c r="N75" s="56">
        <f t="shared" si="36"/>
        <v>15.926592540118786</v>
      </c>
      <c r="O75" s="66">
        <f t="shared" si="34"/>
        <v>6.4413666826430056</v>
      </c>
      <c r="P75" s="53">
        <f>SUM(P71:P74)</f>
        <v>3133576</v>
      </c>
      <c r="Q75" s="53">
        <f>SUM(Q71:Q74)</f>
        <v>122534.11764705883</v>
      </c>
      <c r="R75" s="53">
        <f>SUM(R71:R74)</f>
        <v>364157.77777777781</v>
      </c>
      <c r="S75" s="53">
        <f>SUM(S71:S74)</f>
        <v>868952.5</v>
      </c>
      <c r="T75" s="54">
        <f>SUM(T71:T74)</f>
        <v>4489220.3954248372</v>
      </c>
      <c r="U75" s="57">
        <f>T75/T70*100</f>
        <v>103.03229903254267</v>
      </c>
      <c r="V75" s="55">
        <f>SUM(V71:V74)</f>
        <v>4208068.3954248372</v>
      </c>
      <c r="W75" s="58">
        <f>SUM(W71:W74)</f>
        <v>281152</v>
      </c>
      <c r="X75" s="59">
        <f>P75/T75*100</f>
        <v>69.802231211316013</v>
      </c>
      <c r="Y75" s="60">
        <f>Q75/T75*100</f>
        <v>2.729518866392453</v>
      </c>
      <c r="Z75" s="60">
        <f>R75/T75*100</f>
        <v>8.1118266803943762</v>
      </c>
      <c r="AA75" s="60">
        <f>S75/T75*100</f>
        <v>19.35642324189714</v>
      </c>
      <c r="AB75" s="61">
        <f>W75/T75*100</f>
        <v>6.2628246161969328</v>
      </c>
    </row>
    <row r="76" spans="1:28" ht="12.6" thickTop="1">
      <c r="A76" s="42" t="s">
        <v>9</v>
      </c>
      <c r="B76" s="50">
        <v>2004</v>
      </c>
      <c r="C76" s="5">
        <f>F76+G76+H76+I76</f>
        <v>239523</v>
      </c>
      <c r="D76" s="23">
        <f t="shared" si="30"/>
        <v>226708</v>
      </c>
      <c r="E76" s="20">
        <v>12815</v>
      </c>
      <c r="F76" s="2">
        <v>166182</v>
      </c>
      <c r="G76" s="2">
        <v>17291</v>
      </c>
      <c r="H76" s="2">
        <v>34234</v>
      </c>
      <c r="I76" s="75">
        <v>21816</v>
      </c>
      <c r="J76" s="37">
        <f t="shared" si="35"/>
        <v>69.380393532145135</v>
      </c>
      <c r="K76" s="40">
        <f t="shared" si="35"/>
        <v>7.2189309586135773</v>
      </c>
      <c r="L76" s="76">
        <f t="shared" si="32"/>
        <v>76.599324490758718</v>
      </c>
      <c r="M76" s="40">
        <f t="shared" si="36"/>
        <v>14.292573155813848</v>
      </c>
      <c r="N76" s="40">
        <f t="shared" si="36"/>
        <v>9.1081023534274372</v>
      </c>
      <c r="O76" s="65">
        <f t="shared" si="34"/>
        <v>5.3502168894010182</v>
      </c>
      <c r="P76" s="2">
        <f>F76*2</f>
        <v>332364</v>
      </c>
      <c r="Q76" s="2">
        <f>G76/0.85</f>
        <v>20342.352941176472</v>
      </c>
      <c r="R76" s="2">
        <f>H76/0.45</f>
        <v>76075.555555555547</v>
      </c>
      <c r="S76" s="2">
        <f>I76/0.4</f>
        <v>54540</v>
      </c>
      <c r="T76" s="5">
        <f>SUM(P76:S76)</f>
        <v>483321.90849673201</v>
      </c>
      <c r="U76" s="29"/>
      <c r="V76" s="23">
        <f>T76-W76</f>
        <v>457691.90849673201</v>
      </c>
      <c r="W76" s="18">
        <f>E76*2</f>
        <v>25630</v>
      </c>
      <c r="X76" s="47"/>
      <c r="Y76" s="34"/>
      <c r="Z76" s="34"/>
      <c r="AA76" s="34"/>
      <c r="AB76" s="45"/>
    </row>
    <row r="77" spans="1:28">
      <c r="A77" s="42" t="s">
        <v>10</v>
      </c>
      <c r="B77" s="50">
        <v>2004</v>
      </c>
      <c r="C77" s="5">
        <f>F77+G77+H77+I77</f>
        <v>371418</v>
      </c>
      <c r="D77" s="23">
        <f t="shared" si="30"/>
        <v>356884</v>
      </c>
      <c r="E77" s="20">
        <v>14534</v>
      </c>
      <c r="F77" s="2">
        <v>286417</v>
      </c>
      <c r="G77" s="2">
        <v>25101</v>
      </c>
      <c r="H77" s="2">
        <v>15006</v>
      </c>
      <c r="I77" s="75">
        <v>44894</v>
      </c>
      <c r="J77" s="37">
        <f t="shared" si="35"/>
        <v>77.114464027053074</v>
      </c>
      <c r="K77" s="40">
        <f t="shared" si="35"/>
        <v>6.7581538859182917</v>
      </c>
      <c r="L77" s="76">
        <f t="shared" si="32"/>
        <v>83.872617912971364</v>
      </c>
      <c r="M77" s="40">
        <f t="shared" si="36"/>
        <v>4.0401919131544517</v>
      </c>
      <c r="N77" s="40">
        <f t="shared" si="36"/>
        <v>12.087190173874179</v>
      </c>
      <c r="O77" s="65">
        <f t="shared" si="34"/>
        <v>3.9131113731698517</v>
      </c>
      <c r="P77" s="2">
        <f>F77*2</f>
        <v>572834</v>
      </c>
      <c r="Q77" s="2">
        <f>G77/0.85</f>
        <v>29530.588235294119</v>
      </c>
      <c r="R77" s="2">
        <f>H77/0.45</f>
        <v>33346.666666666664</v>
      </c>
      <c r="S77" s="2">
        <f>I77/0.4</f>
        <v>112235</v>
      </c>
      <c r="T77" s="5">
        <f>SUM(P77:S77)</f>
        <v>747946.25490196072</v>
      </c>
      <c r="U77" s="29"/>
      <c r="V77" s="23">
        <f>T77-W77</f>
        <v>718878.25490196072</v>
      </c>
      <c r="W77" s="18">
        <f>E77*2</f>
        <v>29068</v>
      </c>
      <c r="X77" s="47"/>
      <c r="Y77" s="34"/>
      <c r="Z77" s="34"/>
      <c r="AA77" s="34"/>
      <c r="AB77" s="45"/>
    </row>
    <row r="78" spans="1:28">
      <c r="A78" s="42" t="s">
        <v>11</v>
      </c>
      <c r="B78" s="50">
        <v>2004</v>
      </c>
      <c r="C78" s="5">
        <f>F78+G78+H78+I78</f>
        <v>986955</v>
      </c>
      <c r="D78" s="23">
        <f t="shared" si="30"/>
        <v>961775</v>
      </c>
      <c r="E78" s="20">
        <v>25180</v>
      </c>
      <c r="F78" s="2">
        <v>746880</v>
      </c>
      <c r="G78" s="2">
        <v>38638</v>
      </c>
      <c r="H78" s="2">
        <v>68115</v>
      </c>
      <c r="I78" s="75">
        <v>133322</v>
      </c>
      <c r="J78" s="37">
        <f t="shared" si="35"/>
        <v>75.675182759092365</v>
      </c>
      <c r="K78" s="40">
        <f t="shared" si="35"/>
        <v>3.9148694722657065</v>
      </c>
      <c r="L78" s="76">
        <f t="shared" si="32"/>
        <v>79.590052231358072</v>
      </c>
      <c r="M78" s="40">
        <f t="shared" si="36"/>
        <v>6.9015304649148135</v>
      </c>
      <c r="N78" s="40">
        <f t="shared" si="36"/>
        <v>13.508417303727121</v>
      </c>
      <c r="O78" s="65">
        <f t="shared" si="34"/>
        <v>2.5512814667335388</v>
      </c>
      <c r="P78" s="2">
        <f>F78*2</f>
        <v>1493760</v>
      </c>
      <c r="Q78" s="2">
        <f>G78/0.85</f>
        <v>45456.470588235294</v>
      </c>
      <c r="R78" s="2">
        <f>H78/0.45</f>
        <v>151366.66666666666</v>
      </c>
      <c r="S78" s="2">
        <f>I78/0.4</f>
        <v>333305</v>
      </c>
      <c r="T78" s="5">
        <f>SUM(P78:S78)</f>
        <v>2023888.1372549019</v>
      </c>
      <c r="U78" s="29"/>
      <c r="V78" s="23">
        <f>T78-W78</f>
        <v>1973528.1372549019</v>
      </c>
      <c r="W78" s="18">
        <f>E78*2</f>
        <v>50360</v>
      </c>
      <c r="X78" s="47"/>
      <c r="Y78" s="34"/>
      <c r="Z78" s="34"/>
      <c r="AA78" s="34"/>
      <c r="AB78" s="45"/>
    </row>
    <row r="79" spans="1:28" ht="12.6" thickBot="1">
      <c r="A79" s="42" t="s">
        <v>12</v>
      </c>
      <c r="B79" s="50">
        <v>2004</v>
      </c>
      <c r="C79" s="5">
        <f>F79+G79+H79+I79</f>
        <v>357618</v>
      </c>
      <c r="D79" s="23">
        <f t="shared" si="30"/>
        <v>313799</v>
      </c>
      <c r="E79" s="20">
        <v>43819</v>
      </c>
      <c r="F79" s="2">
        <v>180727</v>
      </c>
      <c r="G79" s="2">
        <v>10018</v>
      </c>
      <c r="H79" s="2">
        <v>16741</v>
      </c>
      <c r="I79" s="75">
        <v>150132</v>
      </c>
      <c r="J79" s="37">
        <f t="shared" si="35"/>
        <v>50.536326471262626</v>
      </c>
      <c r="K79" s="40">
        <f t="shared" si="35"/>
        <v>2.8013131330078465</v>
      </c>
      <c r="L79" s="76">
        <f t="shared" si="32"/>
        <v>53.337639604270471</v>
      </c>
      <c r="M79" s="40">
        <f t="shared" si="36"/>
        <v>4.681252062256374</v>
      </c>
      <c r="N79" s="40">
        <f t="shared" si="36"/>
        <v>41.981108333473152</v>
      </c>
      <c r="O79" s="65">
        <f t="shared" si="34"/>
        <v>12.253018584075745</v>
      </c>
      <c r="P79" s="2">
        <f>F79*2</f>
        <v>361454</v>
      </c>
      <c r="Q79" s="2">
        <f>G79/0.85</f>
        <v>11785.882352941177</v>
      </c>
      <c r="R79" s="2">
        <f>H79/0.45</f>
        <v>37202.222222222219</v>
      </c>
      <c r="S79" s="2">
        <f>I79/0.4</f>
        <v>375330</v>
      </c>
      <c r="T79" s="5">
        <f>SUM(P79:S79)</f>
        <v>785772.10457516345</v>
      </c>
      <c r="U79" s="29"/>
      <c r="V79" s="23">
        <f>T79-W79</f>
        <v>698134.10457516345</v>
      </c>
      <c r="W79" s="18">
        <f>E79*2</f>
        <v>87638</v>
      </c>
      <c r="X79" s="47"/>
      <c r="Y79" s="34"/>
      <c r="Z79" s="34"/>
      <c r="AA79" s="34"/>
      <c r="AB79" s="45"/>
    </row>
    <row r="80" spans="1:28" s="62" customFormat="1" ht="15.6" thickTop="1" thickBot="1">
      <c r="A80" s="69" t="s">
        <v>21</v>
      </c>
      <c r="B80" s="52">
        <v>2004</v>
      </c>
      <c r="C80" s="54">
        <f>SUM(C76:C79)</f>
        <v>1955514</v>
      </c>
      <c r="D80" s="55">
        <f t="shared" si="30"/>
        <v>1859166</v>
      </c>
      <c r="E80" s="58">
        <f>SUM(E76:E79)</f>
        <v>96348</v>
      </c>
      <c r="F80" s="53">
        <f>SUM(F76:F79)</f>
        <v>1380206</v>
      </c>
      <c r="G80" s="53">
        <f>SUM(G76:G79)</f>
        <v>91048</v>
      </c>
      <c r="H80" s="53">
        <f>SUM(H76:H79)</f>
        <v>134096</v>
      </c>
      <c r="I80" s="57">
        <f>SUM(I76:I79)</f>
        <v>350164</v>
      </c>
      <c r="J80" s="56">
        <f t="shared" si="35"/>
        <v>70.580215738675349</v>
      </c>
      <c r="K80" s="56">
        <f t="shared" si="35"/>
        <v>4.6559625755683669</v>
      </c>
      <c r="L80" s="56">
        <f t="shared" si="32"/>
        <v>75.236178314243716</v>
      </c>
      <c r="M80" s="56">
        <f t="shared" si="36"/>
        <v>6.8573275363919661</v>
      </c>
      <c r="N80" s="56">
        <f t="shared" si="36"/>
        <v>17.90649414936431</v>
      </c>
      <c r="O80" s="66">
        <f t="shared" si="34"/>
        <v>4.9269910621964357</v>
      </c>
      <c r="P80" s="53">
        <f>SUM(P76:P79)</f>
        <v>2760412</v>
      </c>
      <c r="Q80" s="53">
        <f>SUM(Q76:Q79)</f>
        <v>107115.29411764705</v>
      </c>
      <c r="R80" s="53">
        <f>SUM(R76:R79)</f>
        <v>297991.11111111112</v>
      </c>
      <c r="S80" s="53">
        <f>SUM(S76:S79)</f>
        <v>875410</v>
      </c>
      <c r="T80" s="54">
        <f>SUM(T76:T79)</f>
        <v>4040928.4052287582</v>
      </c>
      <c r="U80" s="57">
        <f>T80/T75*100</f>
        <v>90.014034716296095</v>
      </c>
      <c r="V80" s="55">
        <f>SUM(V76:V79)</f>
        <v>3848232.4052287582</v>
      </c>
      <c r="W80" s="58">
        <f>SUM(W76:W79)</f>
        <v>192696</v>
      </c>
      <c r="X80" s="59">
        <f>P80/T80*100</f>
        <v>68.311331535301775</v>
      </c>
      <c r="Y80" s="60">
        <f>Q80/T80*100</f>
        <v>2.6507595130625243</v>
      </c>
      <c r="Z80" s="60">
        <f>R80/T80*100</f>
        <v>7.3743229581975669</v>
      </c>
      <c r="AA80" s="60">
        <f>S80/T80*100</f>
        <v>21.663585993438129</v>
      </c>
      <c r="AB80" s="61">
        <f>W80/T80*100</f>
        <v>4.7686071287642973</v>
      </c>
    </row>
    <row r="81" spans="1:28" ht="12.6" thickTop="1">
      <c r="A81" s="42" t="s">
        <v>9</v>
      </c>
      <c r="B81" s="50">
        <v>2005</v>
      </c>
      <c r="C81" s="5">
        <f>F81+G81+H81+I81</f>
        <v>185299</v>
      </c>
      <c r="D81" s="23">
        <f t="shared" ref="D81:D90" si="37">C81-E81</f>
        <v>162919</v>
      </c>
      <c r="E81" s="20">
        <v>22380</v>
      </c>
      <c r="F81" s="2">
        <v>127560</v>
      </c>
      <c r="G81" s="2">
        <v>9816</v>
      </c>
      <c r="H81" s="2">
        <v>28971</v>
      </c>
      <c r="I81" s="75">
        <v>18952</v>
      </c>
      <c r="J81" s="37">
        <f t="shared" ref="J81:K83" si="38">F81/Gesamt*100</f>
        <v>68.84009088014507</v>
      </c>
      <c r="K81" s="40">
        <f t="shared" si="38"/>
        <v>5.2973842276536844</v>
      </c>
      <c r="L81" s="76">
        <f t="shared" ref="L81:L86" si="39">SUM(J81:K81)</f>
        <v>74.13747510779875</v>
      </c>
      <c r="M81" s="40">
        <f t="shared" ref="M81:N83" si="40">H81/Gesamt*100</f>
        <v>15.634730894392307</v>
      </c>
      <c r="N81" s="40">
        <f t="shared" si="40"/>
        <v>10.227793997808947</v>
      </c>
      <c r="O81" s="65">
        <f t="shared" ref="O81:O86" si="41">E81/Gesamt*100</f>
        <v>12.077776998256871</v>
      </c>
      <c r="P81" s="2">
        <f>F81*2</f>
        <v>255120</v>
      </c>
      <c r="Q81" s="2">
        <f>G81/0.85</f>
        <v>11548.235294117647</v>
      </c>
      <c r="R81" s="2">
        <f>H81/0.45</f>
        <v>64380</v>
      </c>
      <c r="S81" s="2">
        <f>I81/0.4</f>
        <v>47380</v>
      </c>
      <c r="T81" s="5">
        <f>SUM(P81:S81)</f>
        <v>378428.23529411765</v>
      </c>
      <c r="U81" s="29"/>
      <c r="V81" s="23">
        <f>T81-W81</f>
        <v>333668.23529411765</v>
      </c>
      <c r="W81" s="18">
        <f>E81*2</f>
        <v>44760</v>
      </c>
      <c r="X81" s="47"/>
      <c r="Y81" s="34"/>
      <c r="Z81" s="34"/>
      <c r="AA81" s="34"/>
      <c r="AB81" s="45"/>
    </row>
    <row r="82" spans="1:28">
      <c r="A82" s="42" t="s">
        <v>10</v>
      </c>
      <c r="B82" s="50">
        <v>2005</v>
      </c>
      <c r="C82" s="5">
        <f>F82+G82+H82+I82</f>
        <v>405196</v>
      </c>
      <c r="D82" s="23">
        <f t="shared" si="37"/>
        <v>397290</v>
      </c>
      <c r="E82" s="20">
        <v>7906</v>
      </c>
      <c r="F82" s="2">
        <v>310039</v>
      </c>
      <c r="G82" s="2">
        <v>20376</v>
      </c>
      <c r="H82" s="2">
        <v>22074</v>
      </c>
      <c r="I82" s="75">
        <v>52707</v>
      </c>
      <c r="J82" s="37">
        <f t="shared" si="38"/>
        <v>76.515809632869036</v>
      </c>
      <c r="K82" s="40">
        <f t="shared" si="38"/>
        <v>5.0286774795407654</v>
      </c>
      <c r="L82" s="76">
        <f t="shared" si="39"/>
        <v>81.544487112409797</v>
      </c>
      <c r="M82" s="40">
        <f t="shared" si="40"/>
        <v>5.447733936169163</v>
      </c>
      <c r="N82" s="40">
        <f t="shared" si="40"/>
        <v>13.00777895142104</v>
      </c>
      <c r="O82" s="65">
        <f t="shared" si="41"/>
        <v>1.9511545030059525</v>
      </c>
      <c r="P82" s="2">
        <f>F82*2</f>
        <v>620078</v>
      </c>
      <c r="Q82" s="2">
        <f>G82/0.85</f>
        <v>23971.764705882353</v>
      </c>
      <c r="R82" s="2">
        <f>H82/0.45</f>
        <v>49053.333333333336</v>
      </c>
      <c r="S82" s="2">
        <f>I82/0.4</f>
        <v>131767.5</v>
      </c>
      <c r="T82" s="5">
        <f>SUM(P82:S82)</f>
        <v>824870.59803921578</v>
      </c>
      <c r="U82" s="29"/>
      <c r="V82" s="23">
        <f>T82-W82</f>
        <v>809058.59803921578</v>
      </c>
      <c r="W82" s="18">
        <f>E82*2</f>
        <v>15812</v>
      </c>
      <c r="X82" s="47"/>
      <c r="Y82" s="34"/>
      <c r="Z82" s="34"/>
      <c r="AA82" s="34"/>
      <c r="AB82" s="45"/>
    </row>
    <row r="83" spans="1:28">
      <c r="A83" s="42" t="s">
        <v>11</v>
      </c>
      <c r="B83" s="50">
        <v>2005</v>
      </c>
      <c r="C83" s="5">
        <f>F83+G83+H83+I83</f>
        <v>1012404</v>
      </c>
      <c r="D83" s="23">
        <f t="shared" si="37"/>
        <v>981068</v>
      </c>
      <c r="E83" s="20">
        <v>31336</v>
      </c>
      <c r="F83" s="2">
        <v>751782</v>
      </c>
      <c r="G83" s="2">
        <v>39948</v>
      </c>
      <c r="H83" s="2">
        <v>82039</v>
      </c>
      <c r="I83" s="75">
        <v>138635</v>
      </c>
      <c r="J83" s="37">
        <f t="shared" si="38"/>
        <v>74.257114748657642</v>
      </c>
      <c r="K83" s="40">
        <f t="shared" si="38"/>
        <v>3.94585560705015</v>
      </c>
      <c r="L83" s="76">
        <f t="shared" si="39"/>
        <v>78.202970355707791</v>
      </c>
      <c r="M83" s="40">
        <f t="shared" si="40"/>
        <v>8.1033856049561237</v>
      </c>
      <c r="N83" s="40">
        <f t="shared" si="40"/>
        <v>13.693644039336075</v>
      </c>
      <c r="O83" s="65">
        <f t="shared" si="41"/>
        <v>3.0952070517303367</v>
      </c>
      <c r="P83" s="2">
        <f>F83*2</f>
        <v>1503564</v>
      </c>
      <c r="Q83" s="2">
        <f>G83/0.85</f>
        <v>46997.647058823532</v>
      </c>
      <c r="R83" s="2">
        <f>H83/0.45</f>
        <v>182308.88888888888</v>
      </c>
      <c r="S83" s="2">
        <f>I83/0.4</f>
        <v>346587.5</v>
      </c>
      <c r="T83" s="5">
        <f>SUM(P83:S83)</f>
        <v>2079458.0359477126</v>
      </c>
      <c r="U83" s="29"/>
      <c r="V83" s="23">
        <f>T83-W83</f>
        <v>2016786.0359477126</v>
      </c>
      <c r="W83" s="18">
        <f>E83*2</f>
        <v>62672</v>
      </c>
      <c r="X83" s="47"/>
      <c r="Y83" s="34"/>
      <c r="Z83" s="34"/>
      <c r="AA83" s="34"/>
      <c r="AB83" s="45"/>
    </row>
    <row r="84" spans="1:28" ht="12.6" thickBot="1">
      <c r="A84" s="42" t="s">
        <v>12</v>
      </c>
      <c r="B84" s="50">
        <v>2005</v>
      </c>
      <c r="C84" s="5">
        <f>F84+G84+H84+I84</f>
        <v>319746</v>
      </c>
      <c r="D84" s="23">
        <f t="shared" si="37"/>
        <v>279617</v>
      </c>
      <c r="E84" s="20">
        <v>40129</v>
      </c>
      <c r="F84" s="2">
        <v>169585</v>
      </c>
      <c r="G84" s="2">
        <v>12483</v>
      </c>
      <c r="H84" s="2">
        <v>12832</v>
      </c>
      <c r="I84" s="75">
        <v>124846</v>
      </c>
      <c r="J84" s="37">
        <f t="shared" ref="J84:K86" si="42">F84/Gesamt*100</f>
        <v>53.037410944937548</v>
      </c>
      <c r="K84" s="40">
        <f t="shared" si="42"/>
        <v>3.9040363288360136</v>
      </c>
      <c r="L84" s="76">
        <f t="shared" si="39"/>
        <v>56.941447273773562</v>
      </c>
      <c r="M84" s="40">
        <f t="shared" ref="M84:N86" si="43">H84/Gesamt*100</f>
        <v>4.0131854659636081</v>
      </c>
      <c r="N84" s="40">
        <f t="shared" si="43"/>
        <v>39.045367260262829</v>
      </c>
      <c r="O84" s="65">
        <f t="shared" si="41"/>
        <v>12.550274280209916</v>
      </c>
      <c r="P84" s="2">
        <f>F84*2</f>
        <v>339170</v>
      </c>
      <c r="Q84" s="2">
        <f>G84/0.85</f>
        <v>14685.882352941177</v>
      </c>
      <c r="R84" s="2">
        <f>H84/0.45</f>
        <v>28515.555555555555</v>
      </c>
      <c r="S84" s="2">
        <f>I84/0.4</f>
        <v>312115</v>
      </c>
      <c r="T84" s="5">
        <f>SUM(P84:S84)</f>
        <v>694486.43790849671</v>
      </c>
      <c r="U84" s="29"/>
      <c r="V84" s="23">
        <f>T84-W84</f>
        <v>614228.43790849671</v>
      </c>
      <c r="W84" s="18">
        <f>E84*2</f>
        <v>80258</v>
      </c>
      <c r="X84" s="47"/>
      <c r="Y84" s="34"/>
      <c r="Z84" s="34"/>
      <c r="AA84" s="34"/>
      <c r="AB84" s="45"/>
    </row>
    <row r="85" spans="1:28" s="62" customFormat="1" ht="15.6" thickTop="1" thickBot="1">
      <c r="A85" s="69" t="s">
        <v>21</v>
      </c>
      <c r="B85" s="52">
        <v>2005</v>
      </c>
      <c r="C85" s="54">
        <f>SUM(C81:C84)</f>
        <v>1922645</v>
      </c>
      <c r="D85" s="55">
        <f t="shared" si="37"/>
        <v>1820894</v>
      </c>
      <c r="E85" s="58">
        <f>SUM(E81:E84)</f>
        <v>101751</v>
      </c>
      <c r="F85" s="53">
        <f>SUM(F81:F84)</f>
        <v>1358966</v>
      </c>
      <c r="G85" s="53">
        <f>SUM(G81:G84)</f>
        <v>82623</v>
      </c>
      <c r="H85" s="53">
        <f>SUM(H81:H84)</f>
        <v>145916</v>
      </c>
      <c r="I85" s="57">
        <f>SUM(I81:I84)</f>
        <v>335140</v>
      </c>
      <c r="J85" s="56">
        <f t="shared" si="42"/>
        <v>70.682107201277404</v>
      </c>
      <c r="K85" s="56">
        <f t="shared" si="42"/>
        <v>4.2973611873226725</v>
      </c>
      <c r="L85" s="56">
        <f t="shared" si="39"/>
        <v>74.979468388600083</v>
      </c>
      <c r="M85" s="56">
        <f t="shared" si="43"/>
        <v>7.5893365649924975</v>
      </c>
      <c r="N85" s="56">
        <f t="shared" si="43"/>
        <v>17.431195046407424</v>
      </c>
      <c r="O85" s="66">
        <f t="shared" si="41"/>
        <v>5.2922406372471258</v>
      </c>
      <c r="P85" s="53">
        <f>SUM(P81:P84)</f>
        <v>2717932</v>
      </c>
      <c r="Q85" s="53">
        <f>SUM(Q81:Q84)</f>
        <v>97203.529411764699</v>
      </c>
      <c r="R85" s="53">
        <f>SUM(R81:R84)</f>
        <v>324257.77777777781</v>
      </c>
      <c r="S85" s="53">
        <f>SUM(S81:S84)</f>
        <v>837850</v>
      </c>
      <c r="T85" s="54">
        <f>SUM(T81:T84)</f>
        <v>3977243.3071895428</v>
      </c>
      <c r="U85" s="57">
        <f>T85/T80*100</f>
        <v>98.423998357486113</v>
      </c>
      <c r="V85" s="55">
        <f>SUM(V81:V84)</f>
        <v>3773741.3071895428</v>
      </c>
      <c r="W85" s="58">
        <f>SUM(W81:W84)</f>
        <v>203502</v>
      </c>
      <c r="X85" s="59">
        <f>P85/T85*100</f>
        <v>68.337081492773549</v>
      </c>
      <c r="Y85" s="60">
        <f>Q85/T85*100</f>
        <v>2.4439925321152169</v>
      </c>
      <c r="Z85" s="60">
        <f>R85/T85*100</f>
        <v>8.1528272909939101</v>
      </c>
      <c r="AA85" s="60">
        <f>S85/T85*100</f>
        <v>21.066098684117311</v>
      </c>
      <c r="AB85" s="61">
        <f>W85/T85*100</f>
        <v>5.1166595624697022</v>
      </c>
    </row>
    <row r="86" spans="1:28" ht="12.6" thickTop="1">
      <c r="A86" s="42" t="s">
        <v>9</v>
      </c>
      <c r="B86" s="50">
        <v>2006</v>
      </c>
      <c r="C86" s="5">
        <f>F86+G86+H86+I86</f>
        <v>205418</v>
      </c>
      <c r="D86" s="23">
        <f t="shared" si="37"/>
        <v>182715</v>
      </c>
      <c r="E86" s="20">
        <v>22703</v>
      </c>
      <c r="F86" s="2">
        <v>149832</v>
      </c>
      <c r="G86" s="2">
        <v>8749</v>
      </c>
      <c r="H86" s="2">
        <v>30883</v>
      </c>
      <c r="I86" s="75">
        <v>15954</v>
      </c>
      <c r="J86" s="37">
        <f t="shared" si="42"/>
        <v>72.940053938797973</v>
      </c>
      <c r="K86" s="40">
        <f t="shared" si="42"/>
        <v>4.2591204276158852</v>
      </c>
      <c r="L86" s="76">
        <f t="shared" si="39"/>
        <v>77.199174366413857</v>
      </c>
      <c r="M86" s="40">
        <f t="shared" si="43"/>
        <v>15.03422290159577</v>
      </c>
      <c r="N86" s="40">
        <f t="shared" si="43"/>
        <v>7.766602731990381</v>
      </c>
      <c r="O86" s="65">
        <f t="shared" si="41"/>
        <v>11.052098647635553</v>
      </c>
      <c r="P86" s="2">
        <f>F86*2</f>
        <v>299664</v>
      </c>
      <c r="Q86" s="2">
        <f>G86/0.85</f>
        <v>10292.941176470589</v>
      </c>
      <c r="R86" s="2">
        <f>H86/0.45</f>
        <v>68628.888888888891</v>
      </c>
      <c r="S86" s="2">
        <f>I86/0.4</f>
        <v>39885</v>
      </c>
      <c r="T86" s="5">
        <f>SUM(P86:S86)</f>
        <v>418470.83006535948</v>
      </c>
      <c r="U86" s="29"/>
      <c r="V86" s="23">
        <f>T86-W86</f>
        <v>373064.83006535948</v>
      </c>
      <c r="W86" s="18">
        <f>E86*2</f>
        <v>45406</v>
      </c>
      <c r="X86" s="47"/>
      <c r="Y86" s="34"/>
      <c r="Z86" s="34"/>
      <c r="AA86" s="34"/>
      <c r="AB86" s="45"/>
    </row>
    <row r="87" spans="1:28">
      <c r="A87" s="42" t="s">
        <v>10</v>
      </c>
      <c r="B87" s="50">
        <v>2006</v>
      </c>
      <c r="C87" s="5">
        <f>F87+G87+H87+I87</f>
        <v>359049</v>
      </c>
      <c r="D87" s="23">
        <f t="shared" si="37"/>
        <v>357990</v>
      </c>
      <c r="E87" s="20">
        <v>1059</v>
      </c>
      <c r="F87" s="2">
        <v>280451</v>
      </c>
      <c r="G87" s="2">
        <v>14733</v>
      </c>
      <c r="H87" s="2">
        <v>22374</v>
      </c>
      <c r="I87" s="75">
        <v>41491</v>
      </c>
      <c r="J87" s="37">
        <f t="shared" ref="J87:K91" si="44">F87/Gesamt*100</f>
        <v>78.109394539463977</v>
      </c>
      <c r="K87" s="40">
        <f t="shared" si="44"/>
        <v>4.103339655590184</v>
      </c>
      <c r="L87" s="76">
        <f t="shared" ref="L87:L95" si="45">SUM(J87:K87)</f>
        <v>82.212734195054168</v>
      </c>
      <c r="M87" s="40">
        <f t="shared" ref="M87:N91" si="46">H87/Gesamt*100</f>
        <v>6.2314614439811837</v>
      </c>
      <c r="N87" s="40">
        <f t="shared" si="46"/>
        <v>11.555804360964659</v>
      </c>
      <c r="O87" s="65">
        <f t="shared" ref="O87:O95" si="47">E87/Gesamt*100</f>
        <v>0.29494581519514051</v>
      </c>
      <c r="P87" s="2">
        <f>F87*2</f>
        <v>560902</v>
      </c>
      <c r="Q87" s="2">
        <f>G87/0.85</f>
        <v>17332.941176470587</v>
      </c>
      <c r="R87" s="2">
        <f>H87/0.45</f>
        <v>49720</v>
      </c>
      <c r="S87" s="2">
        <f>I87/0.4</f>
        <v>103727.5</v>
      </c>
      <c r="T87" s="5">
        <f>SUM(P87:S87)</f>
        <v>731682.4411764706</v>
      </c>
      <c r="U87" s="29"/>
      <c r="V87" s="23">
        <f>T87-W87</f>
        <v>729564.4411764706</v>
      </c>
      <c r="W87" s="18">
        <f>E87*2</f>
        <v>2118</v>
      </c>
      <c r="X87" s="47"/>
      <c r="Y87" s="34"/>
      <c r="Z87" s="34"/>
      <c r="AA87" s="34"/>
      <c r="AB87" s="45"/>
    </row>
    <row r="88" spans="1:28">
      <c r="A88" s="42" t="s">
        <v>11</v>
      </c>
      <c r="B88" s="50">
        <v>2006</v>
      </c>
      <c r="C88" s="5">
        <f>F88+G88+H88+I88</f>
        <v>1078751</v>
      </c>
      <c r="D88" s="23">
        <f t="shared" si="37"/>
        <v>1041461</v>
      </c>
      <c r="E88" s="20">
        <v>37290</v>
      </c>
      <c r="F88" s="2">
        <v>820660</v>
      </c>
      <c r="G88" s="2">
        <v>35895</v>
      </c>
      <c r="H88" s="2">
        <v>101909</v>
      </c>
      <c r="I88" s="75">
        <v>120287</v>
      </c>
      <c r="J88" s="37">
        <f t="shared" si="44"/>
        <v>76.075016384689334</v>
      </c>
      <c r="K88" s="40">
        <f t="shared" si="44"/>
        <v>3.3274592561211991</v>
      </c>
      <c r="L88" s="76">
        <f t="shared" si="45"/>
        <v>79.402475640810536</v>
      </c>
      <c r="M88" s="40">
        <f t="shared" si="46"/>
        <v>9.4469437340034901</v>
      </c>
      <c r="N88" s="40">
        <f t="shared" si="46"/>
        <v>11.150580625185979</v>
      </c>
      <c r="O88" s="65">
        <f t="shared" si="47"/>
        <v>3.4567754745997914</v>
      </c>
      <c r="P88" s="2">
        <f>F88*2</f>
        <v>1641320</v>
      </c>
      <c r="Q88" s="2">
        <f>G88/0.85</f>
        <v>42229.411764705881</v>
      </c>
      <c r="R88" s="2">
        <f>H88/0.45</f>
        <v>226464.44444444444</v>
      </c>
      <c r="S88" s="2">
        <f>I88/0.4</f>
        <v>300717.5</v>
      </c>
      <c r="T88" s="5">
        <f>SUM(P88:S88)</f>
        <v>2210731.3562091505</v>
      </c>
      <c r="U88" s="29"/>
      <c r="V88" s="23">
        <f>T88-W88</f>
        <v>2136151.3562091505</v>
      </c>
      <c r="W88" s="18">
        <f>E88*2</f>
        <v>74580</v>
      </c>
      <c r="X88" s="47"/>
      <c r="Y88" s="34"/>
      <c r="Z88" s="34"/>
      <c r="AA88" s="34"/>
      <c r="AB88" s="45"/>
    </row>
    <row r="89" spans="1:28" ht="12.6" thickBot="1">
      <c r="A89" s="42" t="s">
        <v>12</v>
      </c>
      <c r="B89" s="50">
        <v>2006</v>
      </c>
      <c r="C89" s="5">
        <f>F89+G89+H89+I89</f>
        <v>356880</v>
      </c>
      <c r="D89" s="23">
        <f t="shared" si="37"/>
        <v>311738</v>
      </c>
      <c r="E89" s="20">
        <v>45142</v>
      </c>
      <c r="F89" s="2">
        <v>218127</v>
      </c>
      <c r="G89" s="2">
        <v>10423</v>
      </c>
      <c r="H89" s="2">
        <v>20728</v>
      </c>
      <c r="I89" s="75">
        <v>107602</v>
      </c>
      <c r="J89" s="37">
        <f t="shared" si="44"/>
        <v>61.120544720914594</v>
      </c>
      <c r="K89" s="40">
        <f t="shared" si="44"/>
        <v>2.9205895539116788</v>
      </c>
      <c r="L89" s="76">
        <f t="shared" si="45"/>
        <v>64.041134274826277</v>
      </c>
      <c r="M89" s="40">
        <f t="shared" si="46"/>
        <v>5.8081147724725399</v>
      </c>
      <c r="N89" s="40">
        <f t="shared" si="46"/>
        <v>30.150750952701188</v>
      </c>
      <c r="O89" s="65">
        <f t="shared" si="47"/>
        <v>12.649069715310468</v>
      </c>
      <c r="P89" s="2">
        <f>F89*2</f>
        <v>436254</v>
      </c>
      <c r="Q89" s="2">
        <f>G89/0.85</f>
        <v>12262.35294117647</v>
      </c>
      <c r="R89" s="2">
        <f>H89/0.45</f>
        <v>46062.222222222219</v>
      </c>
      <c r="S89" s="2">
        <f>I89/0.4</f>
        <v>269005</v>
      </c>
      <c r="T89" s="5">
        <f>SUM(P89:S89)</f>
        <v>763583.57516339864</v>
      </c>
      <c r="U89" s="29"/>
      <c r="V89" s="23">
        <f>T89-W89</f>
        <v>673299.57516339864</v>
      </c>
      <c r="W89" s="18">
        <f>E89*2</f>
        <v>90284</v>
      </c>
      <c r="X89" s="47"/>
      <c r="Y89" s="34"/>
      <c r="Z89" s="34"/>
      <c r="AA89" s="34"/>
      <c r="AB89" s="45"/>
    </row>
    <row r="90" spans="1:28" s="62" customFormat="1" ht="15.6" thickTop="1" thickBot="1">
      <c r="A90" s="69" t="s">
        <v>21</v>
      </c>
      <c r="B90" s="52">
        <v>2006</v>
      </c>
      <c r="C90" s="54">
        <f>SUM(C86:C89)</f>
        <v>2000098</v>
      </c>
      <c r="D90" s="55">
        <f t="shared" si="37"/>
        <v>1893904</v>
      </c>
      <c r="E90" s="58">
        <f>SUM(E86:E89)</f>
        <v>106194</v>
      </c>
      <c r="F90" s="53">
        <f>SUM(F86:F89)</f>
        <v>1469070</v>
      </c>
      <c r="G90" s="53">
        <f>SUM(G86:G89)</f>
        <v>69800</v>
      </c>
      <c r="H90" s="53">
        <f>SUM(H86:H89)</f>
        <v>175894</v>
      </c>
      <c r="I90" s="57">
        <f>SUM(I86:I89)</f>
        <v>285334</v>
      </c>
      <c r="J90" s="56">
        <f t="shared" si="44"/>
        <v>73.449900954853206</v>
      </c>
      <c r="K90" s="56">
        <f t="shared" si="44"/>
        <v>3.4898289983790791</v>
      </c>
      <c r="L90" s="56">
        <f t="shared" si="45"/>
        <v>76.939729953232288</v>
      </c>
      <c r="M90" s="56">
        <f t="shared" si="46"/>
        <v>8.7942690808150399</v>
      </c>
      <c r="N90" s="56">
        <f t="shared" si="46"/>
        <v>14.266000965952669</v>
      </c>
      <c r="O90" s="66">
        <f t="shared" si="47"/>
        <v>5.3094398374479645</v>
      </c>
      <c r="P90" s="53">
        <f>SUM(P86:P89)</f>
        <v>2938140</v>
      </c>
      <c r="Q90" s="53">
        <f>SUM(Q86:Q89)</f>
        <v>82117.647058823524</v>
      </c>
      <c r="R90" s="53">
        <f>SUM(R86:R89)</f>
        <v>390875.5555555555</v>
      </c>
      <c r="S90" s="53">
        <f>SUM(S86:S89)</f>
        <v>713335</v>
      </c>
      <c r="T90" s="54">
        <f>SUM(T86:T89)</f>
        <v>4124468.2026143791</v>
      </c>
      <c r="U90" s="57">
        <f>T90/T85*100</f>
        <v>103.7016818950629</v>
      </c>
      <c r="V90" s="55">
        <f>SUM(V86:V89)</f>
        <v>3912080.2026143791</v>
      </c>
      <c r="W90" s="58">
        <f>SUM(W86:W89)</f>
        <v>212388</v>
      </c>
      <c r="X90" s="59">
        <f>P90/T90*100</f>
        <v>71.236820255702284</v>
      </c>
      <c r="Y90" s="60">
        <f>Q90/T90*100</f>
        <v>1.9909875170518121</v>
      </c>
      <c r="Z90" s="60">
        <f>R90/T90*100</f>
        <v>9.4769928231666558</v>
      </c>
      <c r="AA90" s="60">
        <f>S90/T90*100</f>
        <v>17.295199404079245</v>
      </c>
      <c r="AB90" s="61">
        <f>W90/T90*100</f>
        <v>5.1494638718604619</v>
      </c>
    </row>
    <row r="91" spans="1:28" ht="12.6" thickTop="1">
      <c r="A91" s="42" t="s">
        <v>9</v>
      </c>
      <c r="B91" s="50">
        <v>2007</v>
      </c>
      <c r="C91" s="5">
        <f>F91+G91+H91+I91</f>
        <v>253089</v>
      </c>
      <c r="D91" s="23">
        <f t="shared" ref="D91:D100" si="48">C91-E91</f>
        <v>241298</v>
      </c>
      <c r="E91" s="20">
        <v>11791</v>
      </c>
      <c r="F91" s="2">
        <v>179885</v>
      </c>
      <c r="G91" s="2">
        <v>13096</v>
      </c>
      <c r="H91" s="2">
        <v>36521</v>
      </c>
      <c r="I91" s="75">
        <v>23587</v>
      </c>
      <c r="J91" s="37">
        <f t="shared" si="44"/>
        <v>71.07578756879991</v>
      </c>
      <c r="K91" s="40">
        <f t="shared" si="44"/>
        <v>5.1744643188759687</v>
      </c>
      <c r="L91" s="76">
        <f t="shared" si="45"/>
        <v>76.250251887675873</v>
      </c>
      <c r="M91" s="40">
        <f t="shared" si="46"/>
        <v>14.430101663841574</v>
      </c>
      <c r="N91" s="40">
        <f t="shared" si="46"/>
        <v>9.3196464484825494</v>
      </c>
      <c r="O91" s="65">
        <f t="shared" si="47"/>
        <v>4.6588354294339149</v>
      </c>
      <c r="P91" s="2">
        <f>F91*2</f>
        <v>359770</v>
      </c>
      <c r="Q91" s="2">
        <f>G91/0.85</f>
        <v>15407.058823529413</v>
      </c>
      <c r="R91" s="2">
        <f>H91/0.45</f>
        <v>81157.777777777781</v>
      </c>
      <c r="S91" s="2">
        <f>I91/0.4</f>
        <v>58967.5</v>
      </c>
      <c r="T91" s="5">
        <f>SUM(P91:S91)</f>
        <v>515302.33660130715</v>
      </c>
      <c r="U91" s="29"/>
      <c r="V91" s="23">
        <f>T91-W91</f>
        <v>491720.33660130715</v>
      </c>
      <c r="W91" s="18">
        <f>E91*2</f>
        <v>23582</v>
      </c>
      <c r="X91" s="47"/>
      <c r="Y91" s="34"/>
      <c r="Z91" s="34"/>
      <c r="AA91" s="34"/>
      <c r="AB91" s="45"/>
    </row>
    <row r="92" spans="1:28">
      <c r="A92" s="42" t="s">
        <v>10</v>
      </c>
      <c r="B92" s="50">
        <v>2007</v>
      </c>
      <c r="C92" s="5">
        <f>F92+G92+H92+I92</f>
        <v>463471</v>
      </c>
      <c r="D92" s="23">
        <f t="shared" si="48"/>
        <v>459404</v>
      </c>
      <c r="E92" s="20">
        <v>4067</v>
      </c>
      <c r="F92" s="2">
        <v>365882</v>
      </c>
      <c r="G92" s="2">
        <v>17686</v>
      </c>
      <c r="H92" s="2">
        <v>37258</v>
      </c>
      <c r="I92" s="75">
        <v>42645</v>
      </c>
      <c r="J92" s="37">
        <f t="shared" ref="J92:K96" si="49">F92/Gesamt*100</f>
        <v>78.943882141493219</v>
      </c>
      <c r="K92" s="40">
        <f t="shared" si="49"/>
        <v>3.8159884868740437</v>
      </c>
      <c r="L92" s="76">
        <f>SUM(J92:K92)</f>
        <v>82.759870628367267</v>
      </c>
      <c r="M92" s="40">
        <f t="shared" ref="M92:N96" si="50">H92/Gesamt*100</f>
        <v>8.038906425644754</v>
      </c>
      <c r="N92" s="40">
        <f t="shared" si="50"/>
        <v>9.2012229459879915</v>
      </c>
      <c r="O92" s="65">
        <f>E92/Gesamt*100</f>
        <v>0.87750905666158174</v>
      </c>
      <c r="P92" s="2">
        <f>F92*2</f>
        <v>731764</v>
      </c>
      <c r="Q92" s="2">
        <f>G92/0.85</f>
        <v>20807.058823529413</v>
      </c>
      <c r="R92" s="2">
        <f>H92/0.45</f>
        <v>82795.555555555547</v>
      </c>
      <c r="S92" s="2">
        <f>I92/0.4</f>
        <v>106612.5</v>
      </c>
      <c r="T92" s="5">
        <f>SUM(P92:S92)</f>
        <v>941979.1143790849</v>
      </c>
      <c r="U92" s="29"/>
      <c r="V92" s="23">
        <f>T92-W92</f>
        <v>933845.1143790849</v>
      </c>
      <c r="W92" s="18">
        <f>E92*2</f>
        <v>8134</v>
      </c>
      <c r="X92" s="47"/>
      <c r="Y92" s="34"/>
      <c r="Z92" s="34"/>
      <c r="AA92" s="34"/>
      <c r="AB92" s="45"/>
    </row>
    <row r="93" spans="1:28">
      <c r="A93" s="42" t="s">
        <v>11</v>
      </c>
      <c r="B93" s="50">
        <v>2007</v>
      </c>
      <c r="C93" s="5">
        <f>F93+G93+H93+I93</f>
        <v>1095866</v>
      </c>
      <c r="D93" s="23">
        <f t="shared" si="48"/>
        <v>1088371</v>
      </c>
      <c r="E93" s="20">
        <v>7495</v>
      </c>
      <c r="F93" s="2">
        <v>819593</v>
      </c>
      <c r="G93" s="2">
        <v>43962</v>
      </c>
      <c r="H93" s="2">
        <v>101624</v>
      </c>
      <c r="I93" s="75">
        <v>130687</v>
      </c>
      <c r="J93" s="37">
        <f t="shared" si="49"/>
        <v>74.78952718671809</v>
      </c>
      <c r="K93" s="40">
        <f t="shared" si="49"/>
        <v>4.0116218588769064</v>
      </c>
      <c r="L93" s="76">
        <f>SUM(J93:K93)</f>
        <v>78.801149045594997</v>
      </c>
      <c r="M93" s="40">
        <f t="shared" si="50"/>
        <v>9.2733965649084826</v>
      </c>
      <c r="N93" s="40">
        <f t="shared" si="50"/>
        <v>11.925454389496526</v>
      </c>
      <c r="O93" s="65">
        <f>E93/Gesamt*100</f>
        <v>0.68393398462950761</v>
      </c>
      <c r="P93" s="2">
        <f>F93*2</f>
        <v>1639186</v>
      </c>
      <c r="Q93" s="2">
        <f>G93/0.85</f>
        <v>51720</v>
      </c>
      <c r="R93" s="2">
        <f>H93/0.45</f>
        <v>225831.11111111109</v>
      </c>
      <c r="S93" s="2">
        <f>I93/0.4</f>
        <v>326717.5</v>
      </c>
      <c r="T93" s="5">
        <f>SUM(P93:S93)</f>
        <v>2243454.611111111</v>
      </c>
      <c r="U93" s="29"/>
      <c r="V93" s="23">
        <f>T93-W93</f>
        <v>2228464.611111111</v>
      </c>
      <c r="W93" s="18">
        <f>E93*2</f>
        <v>14990</v>
      </c>
      <c r="X93" s="47"/>
      <c r="Y93" s="34"/>
      <c r="Z93" s="34"/>
      <c r="AA93" s="34"/>
      <c r="AB93" s="45"/>
    </row>
    <row r="94" spans="1:28" ht="12.6" thickBot="1">
      <c r="A94" s="42" t="s">
        <v>12</v>
      </c>
      <c r="B94" s="50">
        <v>2007</v>
      </c>
      <c r="C94" s="5">
        <f>F94+G94+H94+I94</f>
        <v>352345</v>
      </c>
      <c r="D94" s="23">
        <f t="shared" si="48"/>
        <v>319398</v>
      </c>
      <c r="E94" s="20">
        <v>32947</v>
      </c>
      <c r="F94" s="2">
        <v>197158</v>
      </c>
      <c r="G94" s="2">
        <v>12653</v>
      </c>
      <c r="H94" s="2">
        <v>20901</v>
      </c>
      <c r="I94" s="75">
        <v>121633</v>
      </c>
      <c r="J94" s="37">
        <f t="shared" si="49"/>
        <v>55.955952262697075</v>
      </c>
      <c r="K94" s="40">
        <f t="shared" si="49"/>
        <v>3.5910826036980801</v>
      </c>
      <c r="L94" s="76">
        <f>SUM(J94:K94)</f>
        <v>59.547034866395151</v>
      </c>
      <c r="M94" s="40">
        <f t="shared" si="50"/>
        <v>5.9319700861371665</v>
      </c>
      <c r="N94" s="40">
        <f t="shared" si="50"/>
        <v>34.520995047467679</v>
      </c>
      <c r="O94" s="65">
        <f>E94/Gesamt*100</f>
        <v>9.3507783564404203</v>
      </c>
      <c r="P94" s="2">
        <f>F94*2</f>
        <v>394316</v>
      </c>
      <c r="Q94" s="2">
        <f>G94/0.85</f>
        <v>14885.882352941177</v>
      </c>
      <c r="R94" s="2">
        <f>H94/0.45</f>
        <v>46446.666666666664</v>
      </c>
      <c r="S94" s="2">
        <f>I94/0.4</f>
        <v>304082.5</v>
      </c>
      <c r="T94" s="5">
        <f>SUM(P94:S94)</f>
        <v>759731.04901960795</v>
      </c>
      <c r="U94" s="29"/>
      <c r="V94" s="23">
        <f>T94-W94</f>
        <v>693837.04901960795</v>
      </c>
      <c r="W94" s="18">
        <f>E94*2</f>
        <v>65894</v>
      </c>
      <c r="X94" s="47"/>
      <c r="Y94" s="34"/>
      <c r="Z94" s="34"/>
      <c r="AA94" s="34"/>
      <c r="AB94" s="45"/>
    </row>
    <row r="95" spans="1:28" s="62" customFormat="1" ht="15.6" thickTop="1" thickBot="1">
      <c r="A95" s="69" t="s">
        <v>21</v>
      </c>
      <c r="B95" s="52">
        <v>2007</v>
      </c>
      <c r="C95" s="54">
        <f>SUM(C91:C94)</f>
        <v>2164771</v>
      </c>
      <c r="D95" s="55">
        <f t="shared" si="48"/>
        <v>2108471</v>
      </c>
      <c r="E95" s="58">
        <f>SUM(E91:E94)</f>
        <v>56300</v>
      </c>
      <c r="F95" s="53">
        <f>SUM(F91:F94)</f>
        <v>1562518</v>
      </c>
      <c r="G95" s="53">
        <f>SUM(G91:G94)</f>
        <v>87397</v>
      </c>
      <c r="H95" s="53">
        <f>SUM(H91:H94)</f>
        <v>196304</v>
      </c>
      <c r="I95" s="57">
        <f>SUM(I91:I94)</f>
        <v>318552</v>
      </c>
      <c r="J95" s="56">
        <f t="shared" si="49"/>
        <v>72.179366778287402</v>
      </c>
      <c r="K95" s="56">
        <f t="shared" si="49"/>
        <v>4.0372399667216534</v>
      </c>
      <c r="L95" s="56">
        <f t="shared" si="45"/>
        <v>76.216606745009059</v>
      </c>
      <c r="M95" s="56">
        <f t="shared" si="50"/>
        <v>9.0681185215433882</v>
      </c>
      <c r="N95" s="56">
        <f t="shared" si="50"/>
        <v>14.715274733447556</v>
      </c>
      <c r="O95" s="66">
        <f t="shared" si="47"/>
        <v>2.6007369832652043</v>
      </c>
      <c r="P95" s="53">
        <f>SUM(P91:P94)</f>
        <v>3125036</v>
      </c>
      <c r="Q95" s="53">
        <f>SUM(Q91:Q94)</f>
        <v>102820</v>
      </c>
      <c r="R95" s="53">
        <f>SUM(R91:R94)</f>
        <v>436231.11111111107</v>
      </c>
      <c r="S95" s="53">
        <f>SUM(S91:S94)</f>
        <v>796380</v>
      </c>
      <c r="T95" s="54">
        <f>SUM(T91:T94)</f>
        <v>4460467.111111111</v>
      </c>
      <c r="U95" s="57">
        <f>T95/T90*100</f>
        <v>108.14647833346737</v>
      </c>
      <c r="V95" s="55">
        <f>SUM(V91:V94)</f>
        <v>4347867.111111111</v>
      </c>
      <c r="W95" s="58">
        <f>SUM(W91:W94)</f>
        <v>112600</v>
      </c>
      <c r="X95" s="59">
        <f>P95/T95*100</f>
        <v>70.06073404768469</v>
      </c>
      <c r="Y95" s="60">
        <f>Q95/T95*100</f>
        <v>2.3051397407207275</v>
      </c>
      <c r="Z95" s="60">
        <f>R95/T95*100</f>
        <v>9.7799423299064525</v>
      </c>
      <c r="AA95" s="60">
        <f>S95/T95*100</f>
        <v>17.854183881688126</v>
      </c>
      <c r="AB95" s="61">
        <f>W95/T95*100</f>
        <v>2.5243992881263755</v>
      </c>
    </row>
    <row r="96" spans="1:28" ht="12.6" thickTop="1">
      <c r="A96" s="42" t="s">
        <v>9</v>
      </c>
      <c r="B96" s="50">
        <v>2008</v>
      </c>
      <c r="C96" s="5">
        <f>F96+G96+H96+I96</f>
        <v>271009</v>
      </c>
      <c r="D96" s="23">
        <f t="shared" si="48"/>
        <v>241631</v>
      </c>
      <c r="E96" s="20">
        <v>29378</v>
      </c>
      <c r="F96" s="2">
        <v>191834</v>
      </c>
      <c r="G96" s="2">
        <v>12188</v>
      </c>
      <c r="H96" s="2">
        <v>35822</v>
      </c>
      <c r="I96" s="75">
        <v>31165</v>
      </c>
      <c r="J96" s="37">
        <f t="shared" si="49"/>
        <v>70.785103077757555</v>
      </c>
      <c r="K96" s="40">
        <f t="shared" si="49"/>
        <v>4.4972676184185767</v>
      </c>
      <c r="L96" s="76">
        <f>SUM(J96:K96)</f>
        <v>75.28237069617613</v>
      </c>
      <c r="M96" s="40">
        <f t="shared" si="50"/>
        <v>13.218011209959817</v>
      </c>
      <c r="N96" s="40">
        <f t="shared" si="50"/>
        <v>11.499618093864042</v>
      </c>
      <c r="O96" s="65">
        <f>E96/Gesamt*100</f>
        <v>10.840230398252457</v>
      </c>
      <c r="P96" s="2">
        <f>F96*2</f>
        <v>383668</v>
      </c>
      <c r="Q96" s="2">
        <f>G96/0.85</f>
        <v>14338.823529411766</v>
      </c>
      <c r="R96" s="2">
        <f>H96/0.45</f>
        <v>79604.444444444438</v>
      </c>
      <c r="S96" s="2">
        <f>I96/0.4</f>
        <v>77912.5</v>
      </c>
      <c r="T96" s="5">
        <f>SUM(P96:S96)</f>
        <v>555523.76797385619</v>
      </c>
      <c r="U96" s="29"/>
      <c r="V96" s="23">
        <f>T96-W96</f>
        <v>496767.76797385619</v>
      </c>
      <c r="W96" s="18">
        <f>E96*2</f>
        <v>58756</v>
      </c>
      <c r="X96" s="47"/>
      <c r="Y96" s="34"/>
      <c r="Z96" s="34"/>
      <c r="AA96" s="34"/>
      <c r="AB96" s="45"/>
    </row>
    <row r="97" spans="1:28">
      <c r="A97" s="42" t="s">
        <v>10</v>
      </c>
      <c r="B97" s="50">
        <v>2008</v>
      </c>
      <c r="C97" s="5">
        <f>F97+G97+H97+I97</f>
        <v>495198</v>
      </c>
      <c r="D97" s="23">
        <f t="shared" si="48"/>
        <v>488018</v>
      </c>
      <c r="E97" s="20">
        <v>7180</v>
      </c>
      <c r="F97" s="2">
        <v>377691</v>
      </c>
      <c r="G97" s="2">
        <v>18197</v>
      </c>
      <c r="H97" s="2">
        <v>48824</v>
      </c>
      <c r="I97" s="75">
        <v>50486</v>
      </c>
      <c r="J97" s="37">
        <f>F97/Gesamt*100</f>
        <v>76.270703839676244</v>
      </c>
      <c r="K97" s="40">
        <f>G97/Gesamt*100</f>
        <v>3.6746917394658296</v>
      </c>
      <c r="L97" s="76">
        <f>SUM(J97:K97)</f>
        <v>79.945395579142073</v>
      </c>
      <c r="M97" s="40">
        <f>H97/Gesamt*100</f>
        <v>9.8594905472154579</v>
      </c>
      <c r="N97" s="40">
        <f>I97/Gesamt*100</f>
        <v>10.195113873642462</v>
      </c>
      <c r="O97" s="65">
        <f>E97/Gesamt*100</f>
        <v>1.4499250804728614</v>
      </c>
      <c r="P97" s="2">
        <f>F97*2</f>
        <v>755382</v>
      </c>
      <c r="Q97" s="2">
        <f>G97/0.85</f>
        <v>21408.235294117647</v>
      </c>
      <c r="R97" s="2">
        <f>H97/0.45</f>
        <v>108497.77777777778</v>
      </c>
      <c r="S97" s="2">
        <f>I97/0.4</f>
        <v>126215</v>
      </c>
      <c r="T97" s="5">
        <f>SUM(P97:S97)</f>
        <v>1011503.0130718953</v>
      </c>
      <c r="U97" s="29"/>
      <c r="V97" s="23">
        <f>T97-W97</f>
        <v>997143.01307189534</v>
      </c>
      <c r="W97" s="18">
        <f>E97*2</f>
        <v>14360</v>
      </c>
      <c r="X97" s="47"/>
      <c r="Y97" s="34"/>
      <c r="Z97" s="34"/>
      <c r="AA97" s="34"/>
      <c r="AB97" s="45"/>
    </row>
    <row r="98" spans="1:28">
      <c r="A98" s="42" t="s">
        <v>11</v>
      </c>
      <c r="B98" s="50">
        <v>2008</v>
      </c>
      <c r="C98" s="5">
        <f>F98+G98+H98+I98</f>
        <v>1293484</v>
      </c>
      <c r="D98" s="23">
        <f t="shared" si="48"/>
        <v>1261547</v>
      </c>
      <c r="E98" s="20">
        <v>31937</v>
      </c>
      <c r="F98" s="2">
        <v>916587</v>
      </c>
      <c r="G98" s="2">
        <v>41509</v>
      </c>
      <c r="H98" s="2">
        <v>108489</v>
      </c>
      <c r="I98" s="75">
        <v>226899</v>
      </c>
      <c r="J98" s="37">
        <f>F98/Gesamt*100</f>
        <v>70.861873822946393</v>
      </c>
      <c r="K98" s="40">
        <f>G98/Gesamt*100</f>
        <v>3.2090849210349721</v>
      </c>
      <c r="L98" s="76">
        <f>SUM(J98:K98)</f>
        <v>74.070958743981365</v>
      </c>
      <c r="M98" s="40">
        <f>H98/Gesamt*100</f>
        <v>8.3873476594994596</v>
      </c>
      <c r="N98" s="40">
        <f>I98/Gesamt*100</f>
        <v>17.541693596519167</v>
      </c>
      <c r="O98" s="65">
        <f>E98/Gesamt*100</f>
        <v>2.4690680364040065</v>
      </c>
      <c r="P98" s="2">
        <f>F98*2</f>
        <v>1833174</v>
      </c>
      <c r="Q98" s="2">
        <f>G98/0.85</f>
        <v>48834.117647058825</v>
      </c>
      <c r="R98" s="2">
        <f>H98/0.45</f>
        <v>241086.66666666666</v>
      </c>
      <c r="S98" s="2">
        <f>I98/0.4</f>
        <v>567247.5</v>
      </c>
      <c r="T98" s="5">
        <f>SUM(P98:S98)</f>
        <v>2690342.2843137253</v>
      </c>
      <c r="U98" s="29"/>
      <c r="V98" s="23">
        <f>T98-W98</f>
        <v>2626468.2843137253</v>
      </c>
      <c r="W98" s="18">
        <f>E98*2</f>
        <v>63874</v>
      </c>
      <c r="X98" s="47"/>
      <c r="Y98" s="34"/>
      <c r="Z98" s="34"/>
      <c r="AA98" s="34"/>
      <c r="AB98" s="45"/>
    </row>
    <row r="99" spans="1:28" ht="12.6" thickBot="1">
      <c r="A99" s="42" t="s">
        <v>12</v>
      </c>
      <c r="B99" s="50">
        <v>2008</v>
      </c>
      <c r="C99" s="5">
        <f>F99+G99+H99+I99</f>
        <v>388197</v>
      </c>
      <c r="D99" s="23">
        <f t="shared" si="48"/>
        <v>357835</v>
      </c>
      <c r="E99" s="20">
        <v>30362</v>
      </c>
      <c r="F99" s="2">
        <v>193757</v>
      </c>
      <c r="G99" s="2">
        <v>7609</v>
      </c>
      <c r="H99" s="2">
        <v>26495</v>
      </c>
      <c r="I99" s="75">
        <v>160336</v>
      </c>
      <c r="K99" s="40"/>
      <c r="L99" s="76"/>
      <c r="M99" s="40"/>
      <c r="N99" s="40"/>
      <c r="O99" s="65"/>
      <c r="P99" s="2">
        <f>F99*2</f>
        <v>387514</v>
      </c>
      <c r="Q99" s="2">
        <f>G99/0.85</f>
        <v>8951.7647058823532</v>
      </c>
      <c r="R99" s="2">
        <f>H99/0.45</f>
        <v>58877.777777777774</v>
      </c>
      <c r="S99" s="2">
        <f>I99/0.4</f>
        <v>400840</v>
      </c>
      <c r="T99" s="5">
        <f>SUM(P99:S99)</f>
        <v>856183.54248366016</v>
      </c>
      <c r="U99" s="29"/>
      <c r="V99" s="23">
        <f>T99-W99</f>
        <v>795459.54248366016</v>
      </c>
      <c r="W99" s="18">
        <f>E99*2</f>
        <v>60724</v>
      </c>
      <c r="X99" s="47"/>
      <c r="Y99" s="34"/>
      <c r="Z99" s="34"/>
      <c r="AA99" s="34"/>
      <c r="AB99" s="45"/>
    </row>
    <row r="100" spans="1:28" s="62" customFormat="1" ht="15.6" thickTop="1" thickBot="1">
      <c r="A100" s="69" t="s">
        <v>21</v>
      </c>
      <c r="B100" s="52">
        <v>2008</v>
      </c>
      <c r="C100" s="54">
        <f>SUM(C96:C99)</f>
        <v>2447888</v>
      </c>
      <c r="D100" s="55">
        <f t="shared" si="48"/>
        <v>2349031</v>
      </c>
      <c r="E100" s="58">
        <f>SUM(E96:E99)</f>
        <v>98857</v>
      </c>
      <c r="F100" s="53">
        <f>SUM(F96:F99)</f>
        <v>1679869</v>
      </c>
      <c r="G100" s="53">
        <f>SUM(G96:G99)</f>
        <v>79503</v>
      </c>
      <c r="H100" s="53">
        <f>SUM(H96:H99)</f>
        <v>219630</v>
      </c>
      <c r="I100" s="57">
        <f>SUM(I96:I99)</f>
        <v>468886</v>
      </c>
      <c r="J100" s="56">
        <f t="shared" ref="J100:K102" si="51">F100/Gesamt*100</f>
        <v>68.62523939003745</v>
      </c>
      <c r="K100" s="56">
        <f t="shared" si="51"/>
        <v>3.2478201617067453</v>
      </c>
      <c r="L100" s="56">
        <f t="shared" ref="L100:L105" si="52">SUM(J100:K100)</f>
        <v>71.873059551744191</v>
      </c>
      <c r="M100" s="56">
        <f t="shared" ref="M100:N102" si="53">H100/Gesamt*100</f>
        <v>8.9722242194087301</v>
      </c>
      <c r="N100" s="56">
        <f t="shared" si="53"/>
        <v>19.154716228847072</v>
      </c>
      <c r="O100" s="66">
        <f t="shared" ref="O100:O105" si="54">E100/Gesamt*100</f>
        <v>4.0384609099762736</v>
      </c>
      <c r="P100" s="53">
        <f>SUM(P96:P99)</f>
        <v>3359738</v>
      </c>
      <c r="Q100" s="53">
        <f>SUM(Q96:Q99)</f>
        <v>93532.941176470587</v>
      </c>
      <c r="R100" s="53">
        <f>SUM(R96:R99)</f>
        <v>488066.66666666663</v>
      </c>
      <c r="S100" s="53">
        <f>SUM(S96:S99)</f>
        <v>1172215</v>
      </c>
      <c r="T100" s="54">
        <f>SUM(T96:T99)</f>
        <v>5113552.6078431373</v>
      </c>
      <c r="U100" s="57">
        <f>T100/T95*100</f>
        <v>114.64163910333916</v>
      </c>
      <c r="V100" s="55">
        <f>SUM(V96:V99)</f>
        <v>4915838.6078431373</v>
      </c>
      <c r="W100" s="58">
        <f>SUM(W96:W99)</f>
        <v>197714</v>
      </c>
      <c r="X100" s="59">
        <f>P100/T100*100</f>
        <v>65.702619248442915</v>
      </c>
      <c r="Y100" s="60">
        <f>Q100/T100*100</f>
        <v>1.8291185864209218</v>
      </c>
      <c r="Z100" s="60">
        <f>R100/T100*100</f>
        <v>9.544571144493025</v>
      </c>
      <c r="AA100" s="60">
        <f>S100/T100*100</f>
        <v>22.923691020643133</v>
      </c>
      <c r="AB100" s="61">
        <f>W100/T100*100</f>
        <v>3.8664704396850711</v>
      </c>
    </row>
    <row r="101" spans="1:28" ht="12.6" thickTop="1">
      <c r="A101" s="42" t="s">
        <v>9</v>
      </c>
      <c r="B101" s="50">
        <v>2009</v>
      </c>
      <c r="C101" s="5">
        <f>F101+G101+H101+I101</f>
        <v>261672</v>
      </c>
      <c r="D101" s="23">
        <f t="shared" ref="D101:D110" si="55">C101-E101</f>
        <v>242945</v>
      </c>
      <c r="E101" s="20">
        <v>18727</v>
      </c>
      <c r="F101" s="2">
        <v>170002</v>
      </c>
      <c r="G101" s="2">
        <v>8632</v>
      </c>
      <c r="H101" s="2">
        <v>32534</v>
      </c>
      <c r="I101" s="75">
        <v>50504</v>
      </c>
      <c r="J101" s="37">
        <f t="shared" si="51"/>
        <v>64.967593017212394</v>
      </c>
      <c r="K101" s="40">
        <f t="shared" si="51"/>
        <v>3.298786266776728</v>
      </c>
      <c r="L101" s="76">
        <f t="shared" si="52"/>
        <v>68.266379283989124</v>
      </c>
      <c r="M101" s="40">
        <f t="shared" si="53"/>
        <v>12.433122382218961</v>
      </c>
      <c r="N101" s="40">
        <f t="shared" si="53"/>
        <v>19.300498333791925</v>
      </c>
      <c r="O101" s="65">
        <f t="shared" si="54"/>
        <v>7.1566694182029407</v>
      </c>
      <c r="P101" s="2">
        <f>F101*2</f>
        <v>340004</v>
      </c>
      <c r="Q101" s="2">
        <f>G101/0.85</f>
        <v>10155.294117647059</v>
      </c>
      <c r="R101" s="2">
        <f>H101/0.45</f>
        <v>72297.777777777781</v>
      </c>
      <c r="S101" s="2">
        <f>I101/0.4</f>
        <v>126260</v>
      </c>
      <c r="T101" s="5">
        <f>SUM(P101:S101)</f>
        <v>548717.07189542486</v>
      </c>
      <c r="U101" s="29"/>
      <c r="V101" s="23">
        <f>T101-W101</f>
        <v>511263.07189542486</v>
      </c>
      <c r="W101" s="18">
        <f>E101*2</f>
        <v>37454</v>
      </c>
      <c r="X101" s="47"/>
      <c r="Y101" s="34"/>
      <c r="Z101" s="34"/>
      <c r="AA101" s="34"/>
      <c r="AB101" s="45"/>
    </row>
    <row r="102" spans="1:28">
      <c r="A102" s="42" t="s">
        <v>10</v>
      </c>
      <c r="B102" s="50">
        <v>2009</v>
      </c>
      <c r="C102" s="5">
        <v>416327</v>
      </c>
      <c r="D102" s="23">
        <f t="shared" si="55"/>
        <v>411440</v>
      </c>
      <c r="E102" s="20">
        <v>4887</v>
      </c>
      <c r="F102" s="2">
        <v>286239</v>
      </c>
      <c r="G102" s="2">
        <v>14695</v>
      </c>
      <c r="H102" s="2">
        <v>50022</v>
      </c>
      <c r="I102" s="75">
        <v>65371</v>
      </c>
      <c r="J102" s="37">
        <f t="shared" si="51"/>
        <v>68.753407778020645</v>
      </c>
      <c r="K102" s="40">
        <f t="shared" si="51"/>
        <v>3.5296773930107821</v>
      </c>
      <c r="L102" s="76">
        <f t="shared" si="52"/>
        <v>72.283085171031431</v>
      </c>
      <c r="M102" s="40">
        <f t="shared" si="53"/>
        <v>12.015074688886381</v>
      </c>
      <c r="N102" s="40">
        <f t="shared" si="53"/>
        <v>15.701840140082195</v>
      </c>
      <c r="O102" s="65">
        <f t="shared" si="54"/>
        <v>1.1738369118505405</v>
      </c>
      <c r="P102" s="2">
        <f>F102*2</f>
        <v>572478</v>
      </c>
      <c r="Q102" s="2">
        <f>G102/0.85</f>
        <v>17288.235294117647</v>
      </c>
      <c r="R102" s="2">
        <f>H102/0.45</f>
        <v>111160</v>
      </c>
      <c r="S102" s="2">
        <f>I102/0.4</f>
        <v>163427.5</v>
      </c>
      <c r="T102" s="5">
        <f>SUM(P102:S102)</f>
        <v>864353.73529411759</v>
      </c>
      <c r="U102" s="29"/>
      <c r="V102" s="23">
        <f>T102-W102</f>
        <v>854579.73529411759</v>
      </c>
      <c r="W102" s="18">
        <f>E102*2</f>
        <v>9774</v>
      </c>
      <c r="X102" s="47"/>
      <c r="Y102" s="34"/>
      <c r="Z102" s="34"/>
      <c r="AA102" s="34"/>
      <c r="AB102" s="45"/>
    </row>
    <row r="103" spans="1:28">
      <c r="A103" s="42" t="s">
        <v>11</v>
      </c>
      <c r="B103" s="50">
        <v>2009</v>
      </c>
      <c r="C103" s="5">
        <f>F103+G103+H103+I103</f>
        <v>1088025</v>
      </c>
      <c r="D103" s="23">
        <f t="shared" si="55"/>
        <v>1052369</v>
      </c>
      <c r="E103" s="20">
        <v>35656</v>
      </c>
      <c r="F103" s="2">
        <v>850637</v>
      </c>
      <c r="G103" s="2">
        <v>31556</v>
      </c>
      <c r="H103" s="2">
        <v>91930</v>
      </c>
      <c r="I103" s="75">
        <v>113902</v>
      </c>
      <c r="J103" s="37">
        <f t="shared" ref="J103:K107" si="56">F103/Gesamt*100</f>
        <v>78.181751338434324</v>
      </c>
      <c r="K103" s="40">
        <f t="shared" si="56"/>
        <v>2.9003010041129573</v>
      </c>
      <c r="L103" s="76">
        <f t="shared" si="52"/>
        <v>81.082052342547286</v>
      </c>
      <c r="M103" s="40">
        <f t="shared" ref="M103:N107" si="57">H103/Gesamt*100</f>
        <v>8.4492543829415681</v>
      </c>
      <c r="N103" s="40">
        <f t="shared" si="57"/>
        <v>10.468693274511155</v>
      </c>
      <c r="O103" s="65">
        <f t="shared" si="54"/>
        <v>3.2771305806392315</v>
      </c>
      <c r="P103" s="2">
        <f>F103*2</f>
        <v>1701274</v>
      </c>
      <c r="Q103" s="2">
        <f>G103/0.85</f>
        <v>37124.705882352944</v>
      </c>
      <c r="R103" s="2">
        <f>H103/0.45</f>
        <v>204288.88888888888</v>
      </c>
      <c r="S103" s="2">
        <f>I103/0.4</f>
        <v>284755</v>
      </c>
      <c r="T103" s="5">
        <f>SUM(P103:S103)</f>
        <v>2227442.5947712418</v>
      </c>
      <c r="U103" s="29"/>
      <c r="V103" s="23">
        <f>T103-W103</f>
        <v>2156130.5947712418</v>
      </c>
      <c r="W103" s="18">
        <f>E103*2</f>
        <v>71312</v>
      </c>
      <c r="X103" s="47"/>
      <c r="Y103" s="34"/>
      <c r="Z103" s="34"/>
      <c r="AA103" s="34"/>
      <c r="AB103" s="45"/>
    </row>
    <row r="104" spans="1:28" ht="12.6" thickBot="1">
      <c r="A104" s="42" t="s">
        <v>12</v>
      </c>
      <c r="B104" s="50">
        <v>2009</v>
      </c>
      <c r="C104" s="5">
        <f>F104+G104+H104+I104</f>
        <v>334206</v>
      </c>
      <c r="D104" s="23">
        <f t="shared" si="55"/>
        <v>300751</v>
      </c>
      <c r="E104" s="20">
        <v>33455</v>
      </c>
      <c r="F104" s="2">
        <v>171470</v>
      </c>
      <c r="G104" s="2">
        <v>9637</v>
      </c>
      <c r="H104" s="2">
        <v>19769</v>
      </c>
      <c r="I104" s="75">
        <v>133330</v>
      </c>
      <c r="J104" s="37">
        <f t="shared" si="56"/>
        <v>51.306679114079344</v>
      </c>
      <c r="K104" s="40">
        <f t="shared" si="56"/>
        <v>2.883550863838471</v>
      </c>
      <c r="L104" s="76">
        <f t="shared" si="52"/>
        <v>54.190229977917816</v>
      </c>
      <c r="M104" s="40">
        <f t="shared" si="57"/>
        <v>5.9152139698269925</v>
      </c>
      <c r="N104" s="40">
        <f t="shared" si="57"/>
        <v>39.894556052255197</v>
      </c>
      <c r="O104" s="65">
        <f t="shared" si="54"/>
        <v>10.010293052787802</v>
      </c>
      <c r="P104" s="2">
        <f>F104*2</f>
        <v>342940</v>
      </c>
      <c r="Q104" s="2">
        <f>G104/0.85</f>
        <v>11337.64705882353</v>
      </c>
      <c r="R104" s="2">
        <f>H104/0.45</f>
        <v>43931.111111111109</v>
      </c>
      <c r="S104" s="2">
        <f>I104/0.4</f>
        <v>333325</v>
      </c>
      <c r="T104" s="5">
        <f>SUM(P104:S104)</f>
        <v>731533.75816993462</v>
      </c>
      <c r="U104" s="29"/>
      <c r="V104" s="23">
        <f>T104-W104</f>
        <v>664623.75816993462</v>
      </c>
      <c r="W104" s="18">
        <f>E104*2</f>
        <v>66910</v>
      </c>
      <c r="X104" s="47"/>
      <c r="Y104" s="34"/>
      <c r="Z104" s="34"/>
      <c r="AA104" s="34"/>
      <c r="AB104" s="45"/>
    </row>
    <row r="105" spans="1:28" s="62" customFormat="1" ht="15.6" thickTop="1" thickBot="1">
      <c r="A105" s="69" t="s">
        <v>21</v>
      </c>
      <c r="B105" s="52">
        <v>2009</v>
      </c>
      <c r="C105" s="54">
        <f>SUM(C101:C104)</f>
        <v>2100230</v>
      </c>
      <c r="D105" s="55">
        <f t="shared" si="55"/>
        <v>2007505</v>
      </c>
      <c r="E105" s="58">
        <f>SUM(E101:E104)</f>
        <v>92725</v>
      </c>
      <c r="F105" s="53">
        <f>SUM(F101:F104)</f>
        <v>1478348</v>
      </c>
      <c r="G105" s="53">
        <f>SUM(G101:G104)</f>
        <v>64520</v>
      </c>
      <c r="H105" s="53">
        <f>SUM(H101:H104)</f>
        <v>194255</v>
      </c>
      <c r="I105" s="57">
        <f>SUM(I101:I104)</f>
        <v>363107</v>
      </c>
      <c r="J105" s="56">
        <f t="shared" si="56"/>
        <v>70.389814448893702</v>
      </c>
      <c r="K105" s="56">
        <f t="shared" si="56"/>
        <v>3.0720444903653408</v>
      </c>
      <c r="L105" s="56">
        <f t="shared" si="52"/>
        <v>73.461858939259045</v>
      </c>
      <c r="M105" s="56">
        <f t="shared" si="57"/>
        <v>9.2492250848716573</v>
      </c>
      <c r="N105" s="56">
        <f t="shared" si="57"/>
        <v>17.288915975869308</v>
      </c>
      <c r="O105" s="66">
        <f t="shared" si="54"/>
        <v>4.4149926436628375</v>
      </c>
      <c r="P105" s="53">
        <f>SUM(P101:P104)</f>
        <v>2956696</v>
      </c>
      <c r="Q105" s="53">
        <f>SUM(Q101:Q104)</f>
        <v>75905.882352941175</v>
      </c>
      <c r="R105" s="53">
        <f>SUM(R101:R104)</f>
        <v>431677.77777777775</v>
      </c>
      <c r="S105" s="53">
        <f>SUM(S101:S104)</f>
        <v>907767.5</v>
      </c>
      <c r="T105" s="54">
        <f>SUM(T101:T104)</f>
        <v>4372047.1601307187</v>
      </c>
      <c r="U105" s="57">
        <f>T105/T100*100</f>
        <v>85.499211515393398</v>
      </c>
      <c r="V105" s="55">
        <f>SUM(V101:V104)</f>
        <v>4186597.1601307187</v>
      </c>
      <c r="W105" s="58">
        <f>SUM(W101:W104)</f>
        <v>185450</v>
      </c>
      <c r="X105" s="59">
        <f>P105/T105*100</f>
        <v>67.627266854815872</v>
      </c>
      <c r="Y105" s="60">
        <f>Q105/T105*100</f>
        <v>1.7361633937789382</v>
      </c>
      <c r="Z105" s="60">
        <f>R105/T105*100</f>
        <v>9.873584661078338</v>
      </c>
      <c r="AA105" s="60">
        <f>S105/T105*100</f>
        <v>20.762985090326861</v>
      </c>
      <c r="AB105" s="61">
        <f>W105/T105*100</f>
        <v>4.2417200274311604</v>
      </c>
    </row>
    <row r="106" spans="1:28" ht="12.6" thickTop="1">
      <c r="A106" s="42" t="s">
        <v>9</v>
      </c>
      <c r="B106" s="50">
        <v>2010</v>
      </c>
      <c r="C106" s="5">
        <f>F106+G106+H106+I106</f>
        <v>199677</v>
      </c>
      <c r="D106" s="23">
        <f t="shared" si="55"/>
        <v>188470</v>
      </c>
      <c r="E106" s="20">
        <v>11207</v>
      </c>
      <c r="F106" s="2">
        <v>132819</v>
      </c>
      <c r="G106" s="2">
        <v>8493</v>
      </c>
      <c r="H106" s="2">
        <v>18067</v>
      </c>
      <c r="I106" s="75">
        <v>40298</v>
      </c>
      <c r="J106" s="37">
        <f t="shared" si="56"/>
        <v>66.516924833606268</v>
      </c>
      <c r="K106" s="40">
        <f t="shared" si="56"/>
        <v>4.2533691912438591</v>
      </c>
      <c r="L106" s="76">
        <f t="shared" ref="L106:L115" si="58">SUM(J106:K106)</f>
        <v>70.770294024850131</v>
      </c>
      <c r="M106" s="40">
        <f t="shared" si="57"/>
        <v>9.0481127020137517</v>
      </c>
      <c r="N106" s="40">
        <f t="shared" si="57"/>
        <v>20.181593273136116</v>
      </c>
      <c r="O106" s="65">
        <f t="shared" ref="O106:O115" si="59">E106/Gesamt*100</f>
        <v>5.6125642913304992</v>
      </c>
      <c r="P106" s="2">
        <f>F106*2</f>
        <v>265638</v>
      </c>
      <c r="Q106" s="2">
        <f>G106/0.85</f>
        <v>9991.7647058823532</v>
      </c>
      <c r="R106" s="2">
        <f>H106/0.45</f>
        <v>40148.888888888891</v>
      </c>
      <c r="S106" s="2">
        <f>I106/0.4</f>
        <v>100745</v>
      </c>
      <c r="T106" s="5">
        <f>SUM(P106:S106)</f>
        <v>416523.65359477123</v>
      </c>
      <c r="U106" s="29"/>
      <c r="V106" s="23">
        <f>T106-W106</f>
        <v>394109.65359477123</v>
      </c>
      <c r="W106" s="18">
        <f>E106*2</f>
        <v>22414</v>
      </c>
      <c r="X106" s="47"/>
      <c r="Y106" s="34"/>
      <c r="Z106" s="34"/>
      <c r="AA106" s="34"/>
      <c r="AB106" s="45"/>
    </row>
    <row r="107" spans="1:28">
      <c r="A107" s="42" t="s">
        <v>10</v>
      </c>
      <c r="B107" s="50">
        <v>2010</v>
      </c>
      <c r="C107" s="5">
        <f>F107+G107+H107+I107</f>
        <v>452968</v>
      </c>
      <c r="D107" s="23">
        <f t="shared" si="55"/>
        <v>448745</v>
      </c>
      <c r="E107" s="20">
        <v>4223</v>
      </c>
      <c r="F107" s="2">
        <v>328510</v>
      </c>
      <c r="G107" s="2">
        <v>17104</v>
      </c>
      <c r="H107" s="2">
        <v>55679</v>
      </c>
      <c r="I107" s="75">
        <v>51675</v>
      </c>
      <c r="J107" s="37">
        <f t="shared" si="56"/>
        <v>72.52388689708765</v>
      </c>
      <c r="K107" s="40">
        <f t="shared" si="56"/>
        <v>3.7759841754825949</v>
      </c>
      <c r="L107" s="76">
        <f t="shared" si="58"/>
        <v>76.299871072570241</v>
      </c>
      <c r="M107" s="40">
        <f t="shared" si="57"/>
        <v>12.292038289680507</v>
      </c>
      <c r="N107" s="40">
        <f t="shared" si="57"/>
        <v>11.408090637749245</v>
      </c>
      <c r="O107" s="65">
        <f t="shared" si="59"/>
        <v>0.93229543808834181</v>
      </c>
      <c r="P107" s="2">
        <f>F107*2</f>
        <v>657020</v>
      </c>
      <c r="Q107" s="2">
        <f>G107/0.85</f>
        <v>20122.352941176472</v>
      </c>
      <c r="R107" s="2">
        <f>H107/0.45</f>
        <v>123731.11111111111</v>
      </c>
      <c r="S107" s="2">
        <f>I107/0.4</f>
        <v>129187.5</v>
      </c>
      <c r="T107" s="5">
        <f>SUM(P107:S107)</f>
        <v>930060.96405228763</v>
      </c>
      <c r="U107" s="29"/>
      <c r="V107" s="23">
        <f>T107-W107</f>
        <v>921614.96405228763</v>
      </c>
      <c r="W107" s="18">
        <f>E107*2</f>
        <v>8446</v>
      </c>
      <c r="X107" s="47"/>
      <c r="Y107" s="34"/>
      <c r="Z107" s="34"/>
      <c r="AA107" s="34"/>
      <c r="AB107" s="45"/>
    </row>
    <row r="108" spans="1:28">
      <c r="A108" s="42" t="s">
        <v>11</v>
      </c>
      <c r="B108" s="50">
        <v>2010</v>
      </c>
      <c r="C108" s="5">
        <f>F108+G108+H108+I108</f>
        <v>1042272</v>
      </c>
      <c r="D108" s="23">
        <f t="shared" si="55"/>
        <v>1021218</v>
      </c>
      <c r="E108" s="20">
        <v>21054</v>
      </c>
      <c r="F108" s="2">
        <v>816825</v>
      </c>
      <c r="G108" s="2">
        <v>24660</v>
      </c>
      <c r="H108" s="2">
        <v>98323</v>
      </c>
      <c r="I108" s="75">
        <v>102464</v>
      </c>
      <c r="J108" s="37">
        <f t="shared" ref="J108:K112" si="60">F108/Gesamt*100</f>
        <v>78.369657824445056</v>
      </c>
      <c r="K108" s="40">
        <f t="shared" si="60"/>
        <v>2.3659850787510361</v>
      </c>
      <c r="L108" s="76">
        <f t="shared" si="58"/>
        <v>80.735642903196094</v>
      </c>
      <c r="M108" s="40">
        <f t="shared" ref="M108:N112" si="61">H108/Gesamt*100</f>
        <v>9.4335259893770527</v>
      </c>
      <c r="N108" s="40">
        <f t="shared" si="61"/>
        <v>9.8308311074268513</v>
      </c>
      <c r="O108" s="65">
        <f t="shared" si="59"/>
        <v>2.0200101317122594</v>
      </c>
      <c r="P108" s="2">
        <f>F108*2</f>
        <v>1633650</v>
      </c>
      <c r="Q108" s="2">
        <f>G108/0.85</f>
        <v>29011.764705882353</v>
      </c>
      <c r="R108" s="2">
        <f>H108/0.45</f>
        <v>218495.55555555556</v>
      </c>
      <c r="S108" s="2">
        <f>I108/0.4</f>
        <v>256160</v>
      </c>
      <c r="T108" s="5">
        <f>SUM(P108:S108)</f>
        <v>2137317.3202614379</v>
      </c>
      <c r="U108" s="29"/>
      <c r="V108" s="23">
        <f>T108-W108</f>
        <v>2095209.3202614379</v>
      </c>
      <c r="W108" s="18">
        <f>E108*2</f>
        <v>42108</v>
      </c>
      <c r="X108" s="47"/>
      <c r="Y108" s="34"/>
      <c r="Z108" s="34"/>
      <c r="AA108" s="34"/>
      <c r="AB108" s="45"/>
    </row>
    <row r="109" spans="1:28" ht="12.6" thickBot="1">
      <c r="A109" s="42" t="s">
        <v>12</v>
      </c>
      <c r="B109" s="50">
        <v>2010</v>
      </c>
      <c r="C109" s="5">
        <f>F109+G109+H109+I109</f>
        <v>361211</v>
      </c>
      <c r="D109" s="23">
        <f>C109-E109</f>
        <v>314101</v>
      </c>
      <c r="E109" s="20">
        <v>47110</v>
      </c>
      <c r="F109" s="2">
        <v>203759</v>
      </c>
      <c r="G109" s="2">
        <v>8350</v>
      </c>
      <c r="H109" s="2">
        <v>21594</v>
      </c>
      <c r="I109" s="75">
        <v>127508</v>
      </c>
      <c r="J109" s="37">
        <f t="shared" si="60"/>
        <v>56.409965366503236</v>
      </c>
      <c r="K109" s="40">
        <f t="shared" si="60"/>
        <v>2.3116682493058072</v>
      </c>
      <c r="L109" s="76">
        <f t="shared" si="58"/>
        <v>58.72163361580904</v>
      </c>
      <c r="M109" s="40">
        <f t="shared" si="61"/>
        <v>5.9782232545520486</v>
      </c>
      <c r="N109" s="40">
        <f t="shared" si="61"/>
        <v>35.300143129638911</v>
      </c>
      <c r="O109" s="65">
        <f t="shared" si="59"/>
        <v>13.042238470035519</v>
      </c>
      <c r="P109" s="2">
        <f>F109*2</f>
        <v>407518</v>
      </c>
      <c r="Q109" s="2">
        <f>G109/0.85</f>
        <v>9823.5294117647063</v>
      </c>
      <c r="R109" s="2">
        <f>H109/0.45</f>
        <v>47986.666666666664</v>
      </c>
      <c r="S109" s="2">
        <f>I109/0.4</f>
        <v>318770</v>
      </c>
      <c r="T109" s="5">
        <f>SUM(P109:S109)</f>
        <v>784098.19607843133</v>
      </c>
      <c r="U109" s="29"/>
      <c r="V109" s="23">
        <f>T109-W109</f>
        <v>689878.19607843133</v>
      </c>
      <c r="W109" s="18">
        <f>E109*2</f>
        <v>94220</v>
      </c>
      <c r="X109" s="47"/>
      <c r="Y109" s="34"/>
      <c r="Z109" s="34"/>
      <c r="AA109" s="34"/>
      <c r="AB109" s="45"/>
    </row>
    <row r="110" spans="1:28" s="62" customFormat="1" ht="15.6" thickTop="1" thickBot="1">
      <c r="A110" s="69" t="s">
        <v>21</v>
      </c>
      <c r="B110" s="52">
        <v>2010</v>
      </c>
      <c r="C110" s="54">
        <f>SUM(C106:C109)</f>
        <v>2056128</v>
      </c>
      <c r="D110" s="55">
        <f t="shared" si="55"/>
        <v>1972534</v>
      </c>
      <c r="E110" s="58">
        <f>SUM(E106:E109)</f>
        <v>83594</v>
      </c>
      <c r="F110" s="53">
        <f>SUM(F106:F109)</f>
        <v>1481913</v>
      </c>
      <c r="G110" s="53">
        <f>SUM(G106:G109)</f>
        <v>58607</v>
      </c>
      <c r="H110" s="53">
        <f>SUM(H106:H109)</f>
        <v>193663</v>
      </c>
      <c r="I110" s="57">
        <f>SUM(I106:I109)</f>
        <v>321945</v>
      </c>
      <c r="J110" s="56">
        <f t="shared" si="60"/>
        <v>72.072993510131667</v>
      </c>
      <c r="K110" s="56">
        <f t="shared" si="60"/>
        <v>2.850357565287764</v>
      </c>
      <c r="L110" s="56">
        <f t="shared" si="58"/>
        <v>74.923351075419433</v>
      </c>
      <c r="M110" s="56">
        <f t="shared" si="61"/>
        <v>9.4188202290907963</v>
      </c>
      <c r="N110" s="56">
        <f t="shared" si="61"/>
        <v>15.657828695489776</v>
      </c>
      <c r="O110" s="66">
        <f t="shared" si="59"/>
        <v>4.0656029196625889</v>
      </c>
      <c r="P110" s="53">
        <f>SUM(P106:P109)</f>
        <v>2963826</v>
      </c>
      <c r="Q110" s="53">
        <f>SUM(Q106:Q109)</f>
        <v>68949.411764705874</v>
      </c>
      <c r="R110" s="53">
        <f>SUM(R106:R109)</f>
        <v>430362.22222222225</v>
      </c>
      <c r="S110" s="53">
        <f>SUM(S106:S109)</f>
        <v>804862.5</v>
      </c>
      <c r="T110" s="54">
        <f>SUM(T106:T109)</f>
        <v>4268000.1339869276</v>
      </c>
      <c r="U110" s="57">
        <f>T110/T105*100</f>
        <v>97.62017603349274</v>
      </c>
      <c r="V110" s="55">
        <f>SUM(V106:V109)</f>
        <v>4100812.133986928</v>
      </c>
      <c r="W110" s="58">
        <f>SUM(W106:W109)</f>
        <v>167188</v>
      </c>
      <c r="X110" s="59">
        <f>P110/T110*100</f>
        <v>69.442968766529987</v>
      </c>
      <c r="Y110" s="60">
        <f>Q110/T110*100</f>
        <v>1.6154969447083212</v>
      </c>
      <c r="Z110" s="60">
        <f>R110/T110*100</f>
        <v>10.083463184435326</v>
      </c>
      <c r="AA110" s="60">
        <f>S110/T110*100</f>
        <v>18.858071104326378</v>
      </c>
      <c r="AB110" s="61">
        <f>W110/T110*100</f>
        <v>3.9172444880835164</v>
      </c>
    </row>
    <row r="111" spans="1:28" ht="12.6" thickTop="1">
      <c r="A111" s="42" t="s">
        <v>9</v>
      </c>
      <c r="B111" s="50">
        <v>2011</v>
      </c>
      <c r="C111" s="5">
        <f>F111+G111+H111+I111</f>
        <v>422357</v>
      </c>
      <c r="D111" s="23">
        <f t="shared" ref="D111:D120" si="62">C111-E111</f>
        <v>399780</v>
      </c>
      <c r="E111" s="20">
        <v>22577</v>
      </c>
      <c r="F111" s="2">
        <v>306827</v>
      </c>
      <c r="G111" s="2">
        <v>12607</v>
      </c>
      <c r="H111" s="2">
        <v>39211</v>
      </c>
      <c r="I111" s="75">
        <v>63712</v>
      </c>
      <c r="J111" s="37">
        <f t="shared" si="60"/>
        <v>72.646363147763623</v>
      </c>
      <c r="K111" s="40">
        <f t="shared" si="60"/>
        <v>2.984915604571488</v>
      </c>
      <c r="L111" s="76">
        <f t="shared" si="58"/>
        <v>75.631278752335106</v>
      </c>
      <c r="M111" s="40">
        <f t="shared" si="61"/>
        <v>9.2838522860992008</v>
      </c>
      <c r="N111" s="40">
        <f t="shared" si="61"/>
        <v>15.084868961565689</v>
      </c>
      <c r="O111" s="65">
        <f t="shared" si="59"/>
        <v>5.3454778777195591</v>
      </c>
      <c r="P111" s="2">
        <f>F111*2</f>
        <v>613654</v>
      </c>
      <c r="Q111" s="2">
        <f>G111/0.85</f>
        <v>14831.764705882353</v>
      </c>
      <c r="R111" s="2">
        <f>H111/0.45</f>
        <v>87135.555555555547</v>
      </c>
      <c r="S111" s="2">
        <f>I111/0.4</f>
        <v>159280</v>
      </c>
      <c r="T111" s="5">
        <f>SUM(P111:S111)</f>
        <v>874901.32026143791</v>
      </c>
      <c r="U111" s="29"/>
      <c r="V111" s="23">
        <f>T111-W111</f>
        <v>829747.32026143791</v>
      </c>
      <c r="W111" s="18">
        <f>E111*2</f>
        <v>45154</v>
      </c>
      <c r="X111" s="47"/>
      <c r="Y111" s="34"/>
      <c r="Z111" s="34"/>
      <c r="AA111" s="34"/>
      <c r="AB111" s="45"/>
    </row>
    <row r="112" spans="1:28">
      <c r="A112" s="42" t="s">
        <v>10</v>
      </c>
      <c r="B112" s="50">
        <v>2011</v>
      </c>
      <c r="C112" s="5">
        <f>F112+G112+H112+I112</f>
        <v>447724</v>
      </c>
      <c r="D112" s="23">
        <f t="shared" si="62"/>
        <v>442837</v>
      </c>
      <c r="E112" s="20">
        <v>4887</v>
      </c>
      <c r="F112" s="2">
        <v>328343</v>
      </c>
      <c r="G112" s="2">
        <v>13330</v>
      </c>
      <c r="H112" s="2">
        <v>57759</v>
      </c>
      <c r="I112" s="75">
        <v>48292</v>
      </c>
      <c r="J112" s="37">
        <f t="shared" si="60"/>
        <v>73.336028446096265</v>
      </c>
      <c r="K112" s="40">
        <f t="shared" si="60"/>
        <v>2.9772806461123369</v>
      </c>
      <c r="L112" s="76">
        <f t="shared" si="58"/>
        <v>76.313309092208598</v>
      </c>
      <c r="M112" s="40">
        <f t="shared" si="61"/>
        <v>12.900581608312264</v>
      </c>
      <c r="N112" s="40">
        <f t="shared" si="61"/>
        <v>10.786109299479143</v>
      </c>
      <c r="O112" s="65">
        <f t="shared" si="59"/>
        <v>1.0915206689835704</v>
      </c>
      <c r="P112" s="2">
        <f>F112*2</f>
        <v>656686</v>
      </c>
      <c r="Q112" s="2">
        <f>G112/0.85</f>
        <v>15682.35294117647</v>
      </c>
      <c r="R112" s="2">
        <f>H112/0.45</f>
        <v>128353.33333333333</v>
      </c>
      <c r="S112" s="2">
        <f>I112/0.4</f>
        <v>120730</v>
      </c>
      <c r="T112" s="5">
        <f>SUM(P112:S112)</f>
        <v>921451.68627450988</v>
      </c>
      <c r="U112" s="29"/>
      <c r="V112" s="23">
        <f>T112-W112</f>
        <v>911677.68627450988</v>
      </c>
      <c r="W112" s="18">
        <f>E112*2</f>
        <v>9774</v>
      </c>
      <c r="X112" s="47"/>
      <c r="Y112" s="34"/>
      <c r="Z112" s="34"/>
      <c r="AA112" s="34"/>
      <c r="AB112" s="45"/>
    </row>
    <row r="113" spans="1:28">
      <c r="A113" s="42" t="s">
        <v>11</v>
      </c>
      <c r="B113" s="50">
        <v>2011</v>
      </c>
      <c r="C113" s="5">
        <f>F113+G113+H113+I113</f>
        <v>1100277</v>
      </c>
      <c r="D113" s="23">
        <f t="shared" si="62"/>
        <v>1085054</v>
      </c>
      <c r="E113" s="20">
        <v>15223</v>
      </c>
      <c r="F113" s="2">
        <v>858758</v>
      </c>
      <c r="G113" s="2">
        <v>32713</v>
      </c>
      <c r="H113" s="2">
        <v>91593</v>
      </c>
      <c r="I113" s="75">
        <v>117213</v>
      </c>
      <c r="J113" s="37">
        <f t="shared" ref="J113:K117" si="63">F113/Gesamt*100</f>
        <v>78.049254869455595</v>
      </c>
      <c r="K113" s="40">
        <f t="shared" si="63"/>
        <v>2.9731603950641521</v>
      </c>
      <c r="L113" s="76">
        <f>SUM(J113:K113)</f>
        <v>81.022415264519751</v>
      </c>
      <c r="M113" s="40">
        <f t="shared" ref="M113:N117" si="64">H113/Gesamt*100</f>
        <v>8.3245400930856501</v>
      </c>
      <c r="N113" s="40">
        <f t="shared" si="64"/>
        <v>10.653044642394597</v>
      </c>
      <c r="O113" s="65">
        <f>E113/Gesamt*100</f>
        <v>1.3835606851729156</v>
      </c>
      <c r="P113" s="2">
        <f>F113*2</f>
        <v>1717516</v>
      </c>
      <c r="Q113" s="2">
        <f>G113/0.85</f>
        <v>38485.882352941175</v>
      </c>
      <c r="R113" s="2">
        <f>H113/0.45</f>
        <v>203540</v>
      </c>
      <c r="S113" s="2">
        <f>I113/0.4</f>
        <v>293032.5</v>
      </c>
      <c r="T113" s="5">
        <f>SUM(P113:S113)</f>
        <v>2252574.3823529412</v>
      </c>
      <c r="U113" s="29"/>
      <c r="V113" s="23">
        <f>T113-W113</f>
        <v>2222128.3823529412</v>
      </c>
      <c r="W113" s="18">
        <f>E113*2</f>
        <v>30446</v>
      </c>
      <c r="X113" s="47"/>
      <c r="Y113" s="34"/>
      <c r="Z113" s="34"/>
      <c r="AA113" s="34"/>
      <c r="AB113" s="45"/>
    </row>
    <row r="114" spans="1:28" ht="12.6" thickBot="1">
      <c r="A114" s="42" t="s">
        <v>12</v>
      </c>
      <c r="B114" s="50">
        <v>2011</v>
      </c>
      <c r="C114" s="5">
        <f>F114+G114+H114+I114</f>
        <v>409866</v>
      </c>
      <c r="D114" s="23">
        <f t="shared" si="62"/>
        <v>374679</v>
      </c>
      <c r="E114" s="151">
        <v>35187</v>
      </c>
      <c r="F114" s="150">
        <v>230785</v>
      </c>
      <c r="G114" s="150">
        <v>9160</v>
      </c>
      <c r="H114" s="150">
        <v>29112</v>
      </c>
      <c r="I114" s="150">
        <v>140809</v>
      </c>
      <c r="J114" s="37">
        <f t="shared" si="63"/>
        <v>56.307427305509606</v>
      </c>
      <c r="K114" s="40">
        <f t="shared" si="63"/>
        <v>2.2348767646011134</v>
      </c>
      <c r="L114" s="76">
        <f>SUM(J114:K114)</f>
        <v>58.542304070110717</v>
      </c>
      <c r="M114" s="40">
        <f t="shared" si="64"/>
        <v>7.1028092108152414</v>
      </c>
      <c r="N114" s="40">
        <f t="shared" si="64"/>
        <v>34.354886719074038</v>
      </c>
      <c r="O114" s="65">
        <f>E114/Gesamt*100</f>
        <v>8.5850009515304997</v>
      </c>
      <c r="P114" s="2">
        <f>F114*2</f>
        <v>461570</v>
      </c>
      <c r="Q114" s="2">
        <f>G114/0.85</f>
        <v>10776.470588235294</v>
      </c>
      <c r="R114" s="2">
        <f>H114/0.45</f>
        <v>64693.333333333328</v>
      </c>
      <c r="S114" s="2">
        <f>I114/0.4</f>
        <v>352022.5</v>
      </c>
      <c r="T114" s="5">
        <f>SUM(P114:S114)</f>
        <v>889062.30392156867</v>
      </c>
      <c r="U114" s="29"/>
      <c r="V114" s="23">
        <f>T114-W114</f>
        <v>818688.30392156867</v>
      </c>
      <c r="W114" s="18">
        <f>E114*2</f>
        <v>70374</v>
      </c>
      <c r="X114" s="47"/>
      <c r="Y114" s="34"/>
      <c r="Z114" s="34"/>
      <c r="AA114" s="34"/>
      <c r="AB114" s="45"/>
    </row>
    <row r="115" spans="1:28" s="62" customFormat="1" ht="15.6" thickTop="1" thickBot="1">
      <c r="A115" s="69" t="s">
        <v>21</v>
      </c>
      <c r="B115" s="52">
        <v>2011</v>
      </c>
      <c r="C115" s="54">
        <f>SUM(C111:C114)</f>
        <v>2380224</v>
      </c>
      <c r="D115" s="55">
        <f t="shared" si="62"/>
        <v>2302350</v>
      </c>
      <c r="E115" s="58">
        <f>SUM(E111:E114)</f>
        <v>77874</v>
      </c>
      <c r="F115" s="53">
        <f>SUM(F111:F114)</f>
        <v>1724713</v>
      </c>
      <c r="G115" s="53">
        <f>SUM(G111:G114)</f>
        <v>67810</v>
      </c>
      <c r="H115" s="53">
        <f>SUM(H111:H114)</f>
        <v>217675</v>
      </c>
      <c r="I115" s="57">
        <f>SUM(I111:I114)</f>
        <v>370026</v>
      </c>
      <c r="J115" s="56">
        <f t="shared" si="63"/>
        <v>72.460112997768277</v>
      </c>
      <c r="K115" s="56">
        <f t="shared" si="63"/>
        <v>2.8488915328977438</v>
      </c>
      <c r="L115" s="56">
        <f t="shared" si="58"/>
        <v>75.309004530666016</v>
      </c>
      <c r="M115" s="56">
        <f t="shared" si="64"/>
        <v>9.1451476835793599</v>
      </c>
      <c r="N115" s="56">
        <f t="shared" si="64"/>
        <v>15.545847785754619</v>
      </c>
      <c r="O115" s="66">
        <f t="shared" si="59"/>
        <v>3.2717088811809307</v>
      </c>
      <c r="P115" s="53">
        <f>SUM(P111:P114)</f>
        <v>3449426</v>
      </c>
      <c r="Q115" s="53">
        <f>SUM(Q111:Q114)</f>
        <v>79776.470588235301</v>
      </c>
      <c r="R115" s="53">
        <f>SUM(R111:R114)</f>
        <v>483722.22222222219</v>
      </c>
      <c r="S115" s="53">
        <f>SUM(S111:S114)</f>
        <v>925065</v>
      </c>
      <c r="T115" s="54">
        <f>SUM(T111:T114)</f>
        <v>4937989.6928104572</v>
      </c>
      <c r="U115" s="57">
        <f>T115/T110*100</f>
        <v>115.69797417503038</v>
      </c>
      <c r="V115" s="55">
        <f>SUM(V111:V114)</f>
        <v>4782241.6928104572</v>
      </c>
      <c r="W115" s="58">
        <f>SUM(W111:W114)</f>
        <v>155748</v>
      </c>
      <c r="X115" s="59">
        <f>P115/T115*100</f>
        <v>69.854864319021274</v>
      </c>
      <c r="Y115" s="60">
        <f>Q115/T115*100</f>
        <v>1.6155657575467826</v>
      </c>
      <c r="Z115" s="60">
        <f>R115/T115*100</f>
        <v>9.79593422251377</v>
      </c>
      <c r="AA115" s="60">
        <f>S115/T115*100</f>
        <v>18.733635700918185</v>
      </c>
      <c r="AB115" s="61">
        <f>W115/T115*100</f>
        <v>3.1540770574463473</v>
      </c>
    </row>
    <row r="116" spans="1:28" ht="12.6" thickTop="1">
      <c r="A116" s="42" t="s">
        <v>9</v>
      </c>
      <c r="B116" s="50">
        <v>2012</v>
      </c>
      <c r="C116" s="5">
        <f>F116+G116+H116+I116</f>
        <v>411875</v>
      </c>
      <c r="D116" s="23">
        <f t="shared" si="62"/>
        <v>378011</v>
      </c>
      <c r="E116" s="20">
        <v>33864</v>
      </c>
      <c r="F116" s="2">
        <v>291538</v>
      </c>
      <c r="G116" s="2">
        <v>10917</v>
      </c>
      <c r="H116" s="2">
        <v>42815</v>
      </c>
      <c r="I116" s="75">
        <v>66605</v>
      </c>
      <c r="J116" s="37">
        <f t="shared" si="63"/>
        <v>70.783125948406678</v>
      </c>
      <c r="K116" s="40">
        <f t="shared" si="63"/>
        <v>2.6505614567526554</v>
      </c>
      <c r="L116" s="76">
        <f t="shared" ref="L116:L125" si="65">SUM(J116:K116)</f>
        <v>73.433687405159333</v>
      </c>
      <c r="M116" s="40">
        <f t="shared" si="64"/>
        <v>10.395144157814871</v>
      </c>
      <c r="N116" s="40">
        <f t="shared" si="64"/>
        <v>16.171168437025795</v>
      </c>
      <c r="O116" s="65">
        <f t="shared" ref="O116:O125" si="66">E116/Gesamt*100</f>
        <v>8.2219119878603948</v>
      </c>
      <c r="P116" s="2">
        <f>F116*2</f>
        <v>583076</v>
      </c>
      <c r="Q116" s="2">
        <f>G116/0.85</f>
        <v>12843.529411764706</v>
      </c>
      <c r="R116" s="2">
        <f>H116/0.45</f>
        <v>95144.444444444438</v>
      </c>
      <c r="S116" s="2">
        <f>I116/0.4</f>
        <v>166512.5</v>
      </c>
      <c r="T116" s="5">
        <f>SUM(P116:S116)</f>
        <v>857576.47385620908</v>
      </c>
      <c r="U116" s="29"/>
      <c r="V116" s="23">
        <f>T116-W116</f>
        <v>789848.47385620908</v>
      </c>
      <c r="W116" s="18">
        <f>E116*2</f>
        <v>67728</v>
      </c>
      <c r="X116" s="47"/>
      <c r="Y116" s="34"/>
      <c r="Z116" s="34"/>
      <c r="AA116" s="34"/>
      <c r="AB116" s="45"/>
    </row>
    <row r="117" spans="1:28">
      <c r="A117" s="42" t="s">
        <v>10</v>
      </c>
      <c r="B117" s="50">
        <v>2012</v>
      </c>
      <c r="C117" s="5">
        <f>F117+G117+H117+I117</f>
        <v>459554</v>
      </c>
      <c r="D117" s="23">
        <f t="shared" si="62"/>
        <v>455186</v>
      </c>
      <c r="E117" s="20">
        <v>4368</v>
      </c>
      <c r="F117" s="2">
        <v>339291</v>
      </c>
      <c r="G117" s="2">
        <v>12559</v>
      </c>
      <c r="H117" s="2">
        <v>56552</v>
      </c>
      <c r="I117" s="75">
        <v>51152</v>
      </c>
      <c r="J117" s="37">
        <f t="shared" si="63"/>
        <v>73.830496524891515</v>
      </c>
      <c r="K117" s="40">
        <f t="shared" si="63"/>
        <v>2.7328670841729155</v>
      </c>
      <c r="L117" s="76">
        <f t="shared" si="65"/>
        <v>76.563363609064425</v>
      </c>
      <c r="M117" s="40">
        <f t="shared" si="64"/>
        <v>12.305844362142425</v>
      </c>
      <c r="N117" s="40">
        <f t="shared" si="64"/>
        <v>11.130792028793133</v>
      </c>
      <c r="O117" s="65">
        <f t="shared" si="66"/>
        <v>0.95048677630920408</v>
      </c>
      <c r="P117" s="2">
        <f>F117*2</f>
        <v>678582</v>
      </c>
      <c r="Q117" s="2">
        <f>G117/0.85</f>
        <v>14775.294117647059</v>
      </c>
      <c r="R117" s="2">
        <f>H117/0.45</f>
        <v>125671.11111111111</v>
      </c>
      <c r="S117" s="2">
        <f>I117/0.4</f>
        <v>127880</v>
      </c>
      <c r="T117" s="5">
        <f>SUM(P117:S117)</f>
        <v>946908.40522875823</v>
      </c>
      <c r="U117" s="29"/>
      <c r="V117" s="23">
        <f>T117-W117</f>
        <v>938172.40522875823</v>
      </c>
      <c r="W117" s="18">
        <f>E117*2</f>
        <v>8736</v>
      </c>
      <c r="X117" s="47"/>
      <c r="Y117" s="34"/>
      <c r="Z117" s="34"/>
      <c r="AA117" s="34"/>
      <c r="AB117" s="45"/>
    </row>
    <row r="118" spans="1:28">
      <c r="A118" s="42" t="s">
        <v>11</v>
      </c>
      <c r="B118" s="50">
        <v>2012</v>
      </c>
      <c r="C118" s="5">
        <f>F118+G118+H118+I118</f>
        <v>1277441</v>
      </c>
      <c r="D118" s="23">
        <f t="shared" si="62"/>
        <v>1243513</v>
      </c>
      <c r="E118" s="20">
        <v>33928</v>
      </c>
      <c r="F118" s="2">
        <v>992192</v>
      </c>
      <c r="G118" s="2">
        <v>42541</v>
      </c>
      <c r="H118" s="2">
        <v>129914</v>
      </c>
      <c r="I118" s="75">
        <v>112794</v>
      </c>
      <c r="J118" s="37">
        <f t="shared" ref="J118:K122" si="67">F118/Gesamt*100</f>
        <v>77.670279879853553</v>
      </c>
      <c r="K118" s="40">
        <f t="shared" si="67"/>
        <v>3.3301733700421385</v>
      </c>
      <c r="L118" s="76">
        <f t="shared" si="65"/>
        <v>81.000453249895685</v>
      </c>
      <c r="M118" s="40">
        <f t="shared" ref="M118:N122" si="68">H118/Gesamt*100</f>
        <v>10.16986303085622</v>
      </c>
      <c r="N118" s="40">
        <f t="shared" si="68"/>
        <v>8.8296837192480915</v>
      </c>
      <c r="O118" s="65">
        <f t="shared" si="66"/>
        <v>2.6559347946402223</v>
      </c>
      <c r="P118" s="2">
        <f>F118*2</f>
        <v>1984384</v>
      </c>
      <c r="Q118" s="2">
        <f>G118/0.85</f>
        <v>50048.23529411765</v>
      </c>
      <c r="R118" s="2">
        <f>H118/0.45</f>
        <v>288697.77777777775</v>
      </c>
      <c r="S118" s="2">
        <f>I118/0.4</f>
        <v>281985</v>
      </c>
      <c r="T118" s="5">
        <f>SUM(P118:S118)</f>
        <v>2605115.0130718956</v>
      </c>
      <c r="U118" s="29"/>
      <c r="V118" s="23">
        <f>T118-W118</f>
        <v>2537259.0130718956</v>
      </c>
      <c r="W118" s="18">
        <f>E118*2</f>
        <v>67856</v>
      </c>
      <c r="X118" s="47"/>
      <c r="Y118" s="34"/>
      <c r="Z118" s="34"/>
      <c r="AA118" s="34"/>
      <c r="AB118" s="45"/>
    </row>
    <row r="119" spans="1:28" ht="12.6" thickBot="1">
      <c r="A119" s="42" t="s">
        <v>12</v>
      </c>
      <c r="B119" s="50">
        <v>2012</v>
      </c>
      <c r="C119" s="5">
        <f>F119+G119+H119+I119</f>
        <v>399198</v>
      </c>
      <c r="D119" s="23">
        <f t="shared" si="62"/>
        <v>353512</v>
      </c>
      <c r="E119" s="151">
        <v>45686</v>
      </c>
      <c r="F119" s="208">
        <v>224957</v>
      </c>
      <c r="G119" s="150">
        <v>8453</v>
      </c>
      <c r="H119" s="150">
        <v>27387</v>
      </c>
      <c r="I119" s="150">
        <v>138401</v>
      </c>
      <c r="J119" s="209">
        <f t="shared" si="67"/>
        <v>56.352236233648469</v>
      </c>
      <c r="K119" s="40">
        <f t="shared" si="67"/>
        <v>2.1174955786351637</v>
      </c>
      <c r="L119" s="76">
        <f t="shared" si="65"/>
        <v>58.469731812283634</v>
      </c>
      <c r="M119" s="40">
        <f t="shared" si="68"/>
        <v>6.8605053131528715</v>
      </c>
      <c r="N119" s="40">
        <f t="shared" si="68"/>
        <v>34.669762874563496</v>
      </c>
      <c r="O119" s="65">
        <f t="shared" si="66"/>
        <v>11.444446114459492</v>
      </c>
      <c r="P119" s="2">
        <f>F119*2</f>
        <v>449914</v>
      </c>
      <c r="Q119" s="2">
        <f>G119/0.85</f>
        <v>9944.7058823529405</v>
      </c>
      <c r="R119" s="2">
        <f>H119/0.45</f>
        <v>60860</v>
      </c>
      <c r="S119" s="2">
        <f>I119/0.4</f>
        <v>346002.5</v>
      </c>
      <c r="T119" s="5">
        <f>SUM(P119:S119)</f>
        <v>866721.20588235301</v>
      </c>
      <c r="U119" s="29"/>
      <c r="V119" s="23">
        <f>T119-W119</f>
        <v>775349.20588235301</v>
      </c>
      <c r="W119" s="18">
        <f>E119*2</f>
        <v>91372</v>
      </c>
      <c r="X119" s="47"/>
      <c r="Y119" s="34"/>
      <c r="Z119" s="34"/>
      <c r="AA119" s="34"/>
      <c r="AB119" s="45"/>
    </row>
    <row r="120" spans="1:28" s="62" customFormat="1" ht="15.6" thickTop="1" thickBot="1">
      <c r="A120" s="69" t="s">
        <v>21</v>
      </c>
      <c r="B120" s="52">
        <v>2012</v>
      </c>
      <c r="C120" s="54">
        <f>SUM(C116:C119)</f>
        <v>2548068</v>
      </c>
      <c r="D120" s="55">
        <f t="shared" si="62"/>
        <v>2430222</v>
      </c>
      <c r="E120" s="222">
        <f>SUM(E116:E119)</f>
        <v>117846</v>
      </c>
      <c r="F120" s="53">
        <f>SUM(F116:F119)</f>
        <v>1847978</v>
      </c>
      <c r="G120" s="53">
        <f>SUM(G116:G119)</f>
        <v>74470</v>
      </c>
      <c r="H120" s="53">
        <f>SUM(H116:H119)</f>
        <v>256668</v>
      </c>
      <c r="I120" s="57">
        <f>SUM(I116:I119)</f>
        <v>368952</v>
      </c>
      <c r="J120" s="56">
        <f t="shared" si="67"/>
        <v>72.524673595838095</v>
      </c>
      <c r="K120" s="56">
        <f t="shared" si="67"/>
        <v>2.9226064610520597</v>
      </c>
      <c r="L120" s="56">
        <f t="shared" si="65"/>
        <v>75.44728005689015</v>
      </c>
      <c r="M120" s="56">
        <f t="shared" si="68"/>
        <v>10.073043576545054</v>
      </c>
      <c r="N120" s="56">
        <f t="shared" si="68"/>
        <v>14.479676366564787</v>
      </c>
      <c r="O120" s="66">
        <f t="shared" si="66"/>
        <v>4.6249158185731307</v>
      </c>
      <c r="P120" s="53">
        <f>SUM(P116:P119)</f>
        <v>3695956</v>
      </c>
      <c r="Q120" s="53">
        <f>SUM(Q116:Q119)</f>
        <v>87611.76470588235</v>
      </c>
      <c r="R120" s="53">
        <f>SUM(R116:R119)</f>
        <v>570373.33333333326</v>
      </c>
      <c r="S120" s="53">
        <f>SUM(S116:S119)</f>
        <v>922380</v>
      </c>
      <c r="T120" s="54">
        <f>SUM(T116:T119)</f>
        <v>5276321.0980392154</v>
      </c>
      <c r="U120" s="57">
        <f>T120/T115*100</f>
        <v>106.85160209470178</v>
      </c>
      <c r="V120" s="55">
        <f>SUM(V116:V119)</f>
        <v>5040629.0980392154</v>
      </c>
      <c r="W120" s="58">
        <f>SUM(W116:W119)</f>
        <v>235692</v>
      </c>
      <c r="X120" s="59">
        <f>P120/T120*100</f>
        <v>70.047973414155734</v>
      </c>
      <c r="Y120" s="60">
        <f>Q120/T120*100</f>
        <v>1.6604706779206557</v>
      </c>
      <c r="Z120" s="60">
        <f>R120/T120*100</f>
        <v>10.810057286795818</v>
      </c>
      <c r="AA120" s="60">
        <f>S120/T120*100</f>
        <v>17.481498621127788</v>
      </c>
      <c r="AB120" s="61">
        <f>W120/T120*100</f>
        <v>4.4669760543494554</v>
      </c>
    </row>
    <row r="121" spans="1:28" ht="12.6" thickTop="1">
      <c r="A121" s="42" t="s">
        <v>9</v>
      </c>
      <c r="B121" s="50">
        <v>2013</v>
      </c>
      <c r="C121" s="5">
        <f>F121+G121+H121+I121</f>
        <v>305356</v>
      </c>
      <c r="D121" s="23">
        <f t="shared" ref="D121:D140" si="69">C121-E121</f>
        <v>292179</v>
      </c>
      <c r="E121" s="20">
        <v>13177</v>
      </c>
      <c r="F121" s="2">
        <v>217977</v>
      </c>
      <c r="G121" s="2">
        <v>9104</v>
      </c>
      <c r="H121" s="2">
        <v>32136</v>
      </c>
      <c r="I121" s="75">
        <v>46139</v>
      </c>
      <c r="J121" s="37">
        <f t="shared" si="67"/>
        <v>71.384547871992027</v>
      </c>
      <c r="K121" s="40">
        <f t="shared" si="67"/>
        <v>2.9814380591833793</v>
      </c>
      <c r="L121" s="76">
        <f t="shared" si="65"/>
        <v>74.365985931175402</v>
      </c>
      <c r="M121" s="40">
        <f t="shared" si="68"/>
        <v>10.524109563918836</v>
      </c>
      <c r="N121" s="40">
        <f t="shared" si="68"/>
        <v>15.109904504905749</v>
      </c>
      <c r="O121" s="65">
        <f t="shared" si="66"/>
        <v>4.3152910045979116</v>
      </c>
      <c r="P121" s="2">
        <f>F121*2</f>
        <v>435954</v>
      </c>
      <c r="Q121" s="2">
        <f>G121/0.85</f>
        <v>10710.588235294117</v>
      </c>
      <c r="R121" s="2">
        <f>H121/0.45</f>
        <v>71413.333333333328</v>
      </c>
      <c r="S121" s="2">
        <f>I121/0.4</f>
        <v>115347.5</v>
      </c>
      <c r="T121" s="5">
        <f>SUM(P121:S121)</f>
        <v>633425.42156862747</v>
      </c>
      <c r="U121" s="29"/>
      <c r="V121" s="23">
        <f>T121-W121</f>
        <v>607071.42156862747</v>
      </c>
      <c r="W121" s="18">
        <f>E121*2</f>
        <v>26354</v>
      </c>
      <c r="X121" s="47"/>
      <c r="Y121" s="34"/>
      <c r="Z121" s="34"/>
      <c r="AA121" s="34"/>
      <c r="AB121" s="45"/>
    </row>
    <row r="122" spans="1:28">
      <c r="A122" s="42" t="s">
        <v>10</v>
      </c>
      <c r="B122" s="50">
        <v>2013</v>
      </c>
      <c r="C122" s="5">
        <f>F122+G122+H122+I122</f>
        <v>545242</v>
      </c>
      <c r="D122" s="23">
        <f t="shared" si="69"/>
        <v>537700</v>
      </c>
      <c r="E122" s="20">
        <v>7542</v>
      </c>
      <c r="F122" s="2">
        <v>393575</v>
      </c>
      <c r="G122" s="2">
        <v>17383</v>
      </c>
      <c r="H122" s="2">
        <v>81278</v>
      </c>
      <c r="I122" s="75">
        <v>53006</v>
      </c>
      <c r="J122" s="37">
        <f t="shared" si="67"/>
        <v>72.183544187718482</v>
      </c>
      <c r="K122" s="40">
        <f t="shared" si="67"/>
        <v>3.1881256396242406</v>
      </c>
      <c r="L122" s="76">
        <f t="shared" si="65"/>
        <v>75.371669827342728</v>
      </c>
      <c r="M122" s="40">
        <f t="shared" si="68"/>
        <v>14.9067753401242</v>
      </c>
      <c r="N122" s="40">
        <f t="shared" si="68"/>
        <v>9.7215548325330783</v>
      </c>
      <c r="O122" s="65">
        <f t="shared" si="66"/>
        <v>1.3832390021311638</v>
      </c>
      <c r="P122" s="2">
        <f>F122*2</f>
        <v>787150</v>
      </c>
      <c r="Q122" s="2">
        <f>G122/0.85</f>
        <v>20450.588235294119</v>
      </c>
      <c r="R122" s="2">
        <f>H122/0.45</f>
        <v>180617.77777777778</v>
      </c>
      <c r="S122" s="2">
        <f>I122/0.4</f>
        <v>132515</v>
      </c>
      <c r="T122" s="5">
        <f>SUM(P122:S122)</f>
        <v>1120733.366013072</v>
      </c>
      <c r="U122" s="29"/>
      <c r="V122" s="23">
        <f>T122-W122</f>
        <v>1105649.366013072</v>
      </c>
      <c r="W122" s="18">
        <f>E122*2</f>
        <v>15084</v>
      </c>
      <c r="X122" s="47"/>
      <c r="Y122" s="34"/>
      <c r="Z122" s="34"/>
      <c r="AA122" s="34"/>
      <c r="AB122" s="45"/>
    </row>
    <row r="123" spans="1:28">
      <c r="A123" s="42" t="s">
        <v>11</v>
      </c>
      <c r="B123" s="50">
        <v>2013</v>
      </c>
      <c r="C123" s="5">
        <f>F123+G123+H123+I123</f>
        <v>1318518</v>
      </c>
      <c r="D123" s="23">
        <f t="shared" si="69"/>
        <v>1282526</v>
      </c>
      <c r="E123" s="18">
        <v>35992</v>
      </c>
      <c r="F123" s="178">
        <v>1025602</v>
      </c>
      <c r="G123" s="178">
        <v>45050</v>
      </c>
      <c r="H123" s="178">
        <v>131020</v>
      </c>
      <c r="I123" s="182">
        <v>116846</v>
      </c>
      <c r="J123" s="37">
        <f t="shared" ref="J123:K127" si="70">F123/Gesamt*100</f>
        <v>77.784451937705825</v>
      </c>
      <c r="K123" s="40">
        <f t="shared" si="70"/>
        <v>3.4167148267979655</v>
      </c>
      <c r="L123" s="76">
        <f t="shared" si="65"/>
        <v>81.201166764503796</v>
      </c>
      <c r="M123" s="40">
        <f t="shared" ref="M123:N127" si="71">H123/Gesamt*100</f>
        <v>9.9369140201347275</v>
      </c>
      <c r="N123" s="40">
        <f t="shared" si="71"/>
        <v>8.861919215361489</v>
      </c>
      <c r="O123" s="65">
        <f t="shared" si="66"/>
        <v>2.7297314105685322</v>
      </c>
      <c r="P123" s="2">
        <f>F123*2</f>
        <v>2051204</v>
      </c>
      <c r="Q123" s="2">
        <f>G123/0.85</f>
        <v>53000</v>
      </c>
      <c r="R123" s="2">
        <f>H123/0.45</f>
        <v>291155.55555555556</v>
      </c>
      <c r="S123" s="2">
        <f>I123/0.4</f>
        <v>292115</v>
      </c>
      <c r="T123" s="5">
        <f>SUM(P123:S123)</f>
        <v>2687474.5555555555</v>
      </c>
      <c r="U123" s="29"/>
      <c r="V123" s="23">
        <f>T123-W123</f>
        <v>2615490.5555555555</v>
      </c>
      <c r="W123" s="18">
        <f>E123*2</f>
        <v>71984</v>
      </c>
      <c r="X123" s="47"/>
      <c r="Y123" s="34"/>
      <c r="Z123" s="34"/>
      <c r="AA123" s="34"/>
      <c r="AB123" s="45"/>
    </row>
    <row r="124" spans="1:28" ht="12.6" thickBot="1">
      <c r="A124" s="42" t="s">
        <v>12</v>
      </c>
      <c r="B124" s="50">
        <v>2013</v>
      </c>
      <c r="C124" s="5">
        <f>F124+G124+H124+I124</f>
        <v>416548</v>
      </c>
      <c r="D124" s="23">
        <f t="shared" si="69"/>
        <v>370200</v>
      </c>
      <c r="E124" s="151">
        <v>46348</v>
      </c>
      <c r="F124" s="208">
        <v>250021</v>
      </c>
      <c r="G124" s="150">
        <v>9447</v>
      </c>
      <c r="H124" s="150">
        <v>19948</v>
      </c>
      <c r="I124" s="210">
        <v>137132</v>
      </c>
      <c r="J124" s="37">
        <f t="shared" si="70"/>
        <v>60.022134303849739</v>
      </c>
      <c r="K124" s="40">
        <f t="shared" si="70"/>
        <v>2.2679259052978287</v>
      </c>
      <c r="L124" s="76">
        <f t="shared" si="65"/>
        <v>62.290060209147569</v>
      </c>
      <c r="M124" s="40">
        <f t="shared" si="71"/>
        <v>4.7888838741273521</v>
      </c>
      <c r="N124" s="40">
        <f t="shared" si="71"/>
        <v>32.921055916725081</v>
      </c>
      <c r="O124" s="65">
        <f t="shared" si="66"/>
        <v>11.126688880993306</v>
      </c>
      <c r="P124" s="2">
        <f>F124*2</f>
        <v>500042</v>
      </c>
      <c r="Q124" s="2">
        <f>G124/0.85</f>
        <v>11114.117647058823</v>
      </c>
      <c r="R124" s="2">
        <f>H124/0.45</f>
        <v>44328.888888888891</v>
      </c>
      <c r="S124" s="2">
        <f>I124/0.4</f>
        <v>342830</v>
      </c>
      <c r="T124" s="5">
        <f>SUM(P124:S124)</f>
        <v>898315.00653594767</v>
      </c>
      <c r="U124" s="29"/>
      <c r="V124" s="23">
        <f>T124-W124</f>
        <v>805619.00653594767</v>
      </c>
      <c r="W124" s="18">
        <f>E124*2</f>
        <v>92696</v>
      </c>
      <c r="X124" s="47"/>
      <c r="Y124" s="34"/>
      <c r="Z124" s="34"/>
      <c r="AA124" s="34"/>
      <c r="AB124" s="45"/>
    </row>
    <row r="125" spans="1:28" s="62" customFormat="1" ht="15.6" thickTop="1" thickBot="1">
      <c r="A125" s="69" t="s">
        <v>21</v>
      </c>
      <c r="B125" s="52">
        <v>2013</v>
      </c>
      <c r="C125" s="54">
        <f>SUM(C121:C124)</f>
        <v>2585664</v>
      </c>
      <c r="D125" s="55">
        <f t="shared" si="69"/>
        <v>2482605</v>
      </c>
      <c r="E125" s="58">
        <f>SUM(E121:E124)</f>
        <v>103059</v>
      </c>
      <c r="F125" s="53">
        <f>SUM(F121:F124)</f>
        <v>1887175</v>
      </c>
      <c r="G125" s="53">
        <f>SUM(G121:G124)</f>
        <v>80984</v>
      </c>
      <c r="H125" s="53">
        <f>SUM(H121:H124)</f>
        <v>264382</v>
      </c>
      <c r="I125" s="57">
        <f>SUM(I121:I124)</f>
        <v>353123</v>
      </c>
      <c r="J125" s="56">
        <f t="shared" si="70"/>
        <v>72.986087906239945</v>
      </c>
      <c r="K125" s="56">
        <f t="shared" si="70"/>
        <v>3.1320388109205219</v>
      </c>
      <c r="L125" s="56">
        <f t="shared" si="65"/>
        <v>76.118126717160465</v>
      </c>
      <c r="M125" s="56">
        <f t="shared" si="71"/>
        <v>10.224917081260365</v>
      </c>
      <c r="N125" s="56">
        <f t="shared" si="71"/>
        <v>13.656956201579169</v>
      </c>
      <c r="O125" s="66">
        <f t="shared" si="66"/>
        <v>3.985784695923368</v>
      </c>
      <c r="P125" s="53">
        <f>SUM(P121:P124)</f>
        <v>3774350</v>
      </c>
      <c r="Q125" s="53">
        <f>SUM(Q121:Q124)</f>
        <v>95275.294117647063</v>
      </c>
      <c r="R125" s="53">
        <f>SUM(R121:R124)</f>
        <v>587515.55555555562</v>
      </c>
      <c r="S125" s="53">
        <f>SUM(S121:S124)</f>
        <v>882807.5</v>
      </c>
      <c r="T125" s="54">
        <f>SUM(T121:T124)</f>
        <v>5339948.3496732023</v>
      </c>
      <c r="U125" s="57">
        <f>T125/T120*100</f>
        <v>101.20590181021454</v>
      </c>
      <c r="V125" s="55">
        <f>SUM(V121:V124)</f>
        <v>5133830.3496732023</v>
      </c>
      <c r="W125" s="58">
        <f>SUM(W121:W124)</f>
        <v>206118</v>
      </c>
      <c r="X125" s="59">
        <f>P125/T125*100</f>
        <v>70.681395265386513</v>
      </c>
      <c r="Y125" s="60">
        <f>Q125/T125*100</f>
        <v>1.7841987951714513</v>
      </c>
      <c r="Z125" s="60">
        <f>R125/T125*100</f>
        <v>11.002270379478684</v>
      </c>
      <c r="AA125" s="60">
        <f>S125/T125*100</f>
        <v>16.532135559963361</v>
      </c>
      <c r="AB125" s="61">
        <f>W125/T125*100</f>
        <v>3.8599249749787212</v>
      </c>
    </row>
    <row r="126" spans="1:28" ht="12.6" thickTop="1">
      <c r="A126" s="42" t="s">
        <v>9</v>
      </c>
      <c r="B126" s="50">
        <v>2014</v>
      </c>
      <c r="C126" s="5">
        <f>F126+G126+H126+I126</f>
        <v>556202</v>
      </c>
      <c r="D126" s="23">
        <f t="shared" si="69"/>
        <v>544137</v>
      </c>
      <c r="E126" s="20">
        <v>12065</v>
      </c>
      <c r="F126" s="2">
        <v>425314</v>
      </c>
      <c r="G126" s="2">
        <v>19578</v>
      </c>
      <c r="H126" s="2">
        <v>52260</v>
      </c>
      <c r="I126" s="75">
        <v>59050</v>
      </c>
      <c r="J126" s="37">
        <f t="shared" si="70"/>
        <v>76.467542367700943</v>
      </c>
      <c r="K126" s="40">
        <f t="shared" si="70"/>
        <v>3.519944192937098</v>
      </c>
      <c r="L126" s="76">
        <f t="shared" ref="L126:L140" si="72">SUM(J126:K126)</f>
        <v>79.987486560638047</v>
      </c>
      <c r="M126" s="40">
        <f t="shared" si="71"/>
        <v>9.3958669691946461</v>
      </c>
      <c r="N126" s="40">
        <f t="shared" si="71"/>
        <v>10.616646470167314</v>
      </c>
      <c r="O126" s="65">
        <f t="shared" ref="O126:O140" si="73">E126/Gesamt*100</f>
        <v>2.1691759468682239</v>
      </c>
      <c r="P126" s="2">
        <f>F126*2</f>
        <v>850628</v>
      </c>
      <c r="Q126" s="2">
        <f>G126/0.85</f>
        <v>23032.941176470587</v>
      </c>
      <c r="R126" s="2">
        <f>H126/0.45</f>
        <v>116133.33333333333</v>
      </c>
      <c r="S126" s="2">
        <f>I126/0.4</f>
        <v>147625</v>
      </c>
      <c r="T126" s="5">
        <f>SUM(P126:S126)</f>
        <v>1137419.2745098039</v>
      </c>
      <c r="U126" s="29"/>
      <c r="V126" s="23">
        <f>T126-W126</f>
        <v>1113289.2745098039</v>
      </c>
      <c r="W126" s="18">
        <f>E126*2</f>
        <v>24130</v>
      </c>
      <c r="X126" s="47"/>
      <c r="Y126" s="34"/>
      <c r="Z126" s="34"/>
      <c r="AA126" s="34"/>
      <c r="AB126" s="45"/>
    </row>
    <row r="127" spans="1:28">
      <c r="A127" s="42" t="s">
        <v>10</v>
      </c>
      <c r="B127" s="50">
        <v>2014</v>
      </c>
      <c r="C127" s="5">
        <f>F127+G127+H127+I127</f>
        <v>573753</v>
      </c>
      <c r="D127" s="23">
        <f t="shared" si="69"/>
        <v>573753</v>
      </c>
      <c r="E127" s="18">
        <v>0</v>
      </c>
      <c r="F127" s="2">
        <v>416637</v>
      </c>
      <c r="G127" s="2">
        <v>18069</v>
      </c>
      <c r="H127" s="2">
        <v>72631</v>
      </c>
      <c r="I127" s="75">
        <v>66416</v>
      </c>
      <c r="J127" s="37">
        <f t="shared" si="70"/>
        <v>72.61609089625675</v>
      </c>
      <c r="K127" s="40">
        <f t="shared" si="70"/>
        <v>3.149264579008737</v>
      </c>
      <c r="L127" s="76">
        <f t="shared" si="72"/>
        <v>75.765355475265494</v>
      </c>
      <c r="M127" s="40">
        <f t="shared" si="71"/>
        <v>12.658931630858575</v>
      </c>
      <c r="N127" s="40">
        <f t="shared" si="71"/>
        <v>11.575712893875936</v>
      </c>
      <c r="O127" s="65">
        <f t="shared" si="73"/>
        <v>0</v>
      </c>
      <c r="P127" s="2">
        <f>F127*2</f>
        <v>833274</v>
      </c>
      <c r="Q127" s="2">
        <f>G127/0.85</f>
        <v>21257.647058823532</v>
      </c>
      <c r="R127" s="2">
        <f>H127/0.45</f>
        <v>161402.22222222222</v>
      </c>
      <c r="S127" s="2">
        <f>I127/0.4</f>
        <v>166040</v>
      </c>
      <c r="T127" s="5">
        <f>SUM(P127:S127)</f>
        <v>1181973.8692810456</v>
      </c>
      <c r="U127" s="29"/>
      <c r="V127" s="23">
        <f>T127-W127</f>
        <v>1181973.8692810456</v>
      </c>
      <c r="W127" s="18">
        <f>E127*2</f>
        <v>0</v>
      </c>
      <c r="X127" s="47"/>
      <c r="Y127" s="34"/>
      <c r="Z127" s="34"/>
      <c r="AA127" s="34"/>
      <c r="AB127" s="45"/>
    </row>
    <row r="128" spans="1:28">
      <c r="A128" s="42" t="s">
        <v>11</v>
      </c>
      <c r="B128" s="50">
        <v>2014</v>
      </c>
      <c r="C128" s="5">
        <f>F128+G128+H128+I128</f>
        <v>1366101</v>
      </c>
      <c r="D128" s="23">
        <f t="shared" si="69"/>
        <v>1329255</v>
      </c>
      <c r="E128" s="18">
        <v>36846</v>
      </c>
      <c r="F128" s="178">
        <v>1104869</v>
      </c>
      <c r="G128" s="178">
        <v>42379</v>
      </c>
      <c r="H128" s="178">
        <v>101988</v>
      </c>
      <c r="I128" s="182">
        <v>116865</v>
      </c>
      <c r="J128" s="37">
        <f t="shared" ref="J128:K130" si="74">F128/Gesamt*100</f>
        <v>80.877548585353495</v>
      </c>
      <c r="K128" s="40">
        <f t="shared" si="74"/>
        <v>3.1021864415588598</v>
      </c>
      <c r="L128" s="76">
        <f t="shared" si="72"/>
        <v>83.979735026912351</v>
      </c>
      <c r="M128" s="40">
        <f t="shared" ref="M128:N130" si="75">H128/Gesamt*100</f>
        <v>7.4656266264353803</v>
      </c>
      <c r="N128" s="40">
        <f t="shared" si="75"/>
        <v>8.5546383466522595</v>
      </c>
      <c r="O128" s="65">
        <f t="shared" si="73"/>
        <v>2.6971651437192419</v>
      </c>
      <c r="P128" s="2">
        <f>F128*2</f>
        <v>2209738</v>
      </c>
      <c r="Q128" s="2">
        <f>G128/0.85</f>
        <v>49857.647058823532</v>
      </c>
      <c r="R128" s="2">
        <f>H128/0.45</f>
        <v>226640</v>
      </c>
      <c r="S128" s="2">
        <f>I128/0.4</f>
        <v>292162.5</v>
      </c>
      <c r="T128" s="5">
        <f>SUM(P128:S128)</f>
        <v>2778398.1470588236</v>
      </c>
      <c r="U128" s="29"/>
      <c r="V128" s="23">
        <f>T128-W128</f>
        <v>2704706.1470588236</v>
      </c>
      <c r="W128" s="18">
        <f>E128*2</f>
        <v>73692</v>
      </c>
      <c r="X128" s="47"/>
      <c r="Y128" s="34"/>
      <c r="Z128" s="34"/>
      <c r="AA128" s="34"/>
      <c r="AB128" s="45"/>
    </row>
    <row r="129" spans="1:28" ht="12.6" thickBot="1">
      <c r="A129" s="42" t="s">
        <v>12</v>
      </c>
      <c r="B129" s="50">
        <v>2014</v>
      </c>
      <c r="C129" s="5">
        <f>F129+G129+H129+I129</f>
        <v>439125</v>
      </c>
      <c r="D129" s="23">
        <f t="shared" si="69"/>
        <v>398288</v>
      </c>
      <c r="E129" s="151">
        <v>40837</v>
      </c>
      <c r="F129" s="208">
        <v>239789</v>
      </c>
      <c r="G129" s="150">
        <v>6465</v>
      </c>
      <c r="H129" s="150">
        <v>19330</v>
      </c>
      <c r="I129" s="150">
        <v>173541</v>
      </c>
      <c r="J129" s="209">
        <f t="shared" si="74"/>
        <v>54.606091659550238</v>
      </c>
      <c r="K129" s="40">
        <f t="shared" si="74"/>
        <v>1.4722459436379165</v>
      </c>
      <c r="L129" s="76">
        <f t="shared" si="72"/>
        <v>56.078337603188153</v>
      </c>
      <c r="M129" s="40">
        <f t="shared" si="75"/>
        <v>4.4019356675206378</v>
      </c>
      <c r="N129" s="40">
        <f t="shared" si="75"/>
        <v>39.519726729291207</v>
      </c>
      <c r="O129" s="65">
        <f t="shared" si="73"/>
        <v>9.2996299459151714</v>
      </c>
      <c r="P129" s="2">
        <f>F129*2</f>
        <v>479578</v>
      </c>
      <c r="Q129" s="2">
        <f>G129/0.85</f>
        <v>7605.8823529411766</v>
      </c>
      <c r="R129" s="2">
        <f>H129/0.45</f>
        <v>42955.555555555555</v>
      </c>
      <c r="S129" s="2">
        <f>I129/0.4</f>
        <v>433852.5</v>
      </c>
      <c r="T129" s="5">
        <f>SUM(P129:S129)</f>
        <v>963991.93790849671</v>
      </c>
      <c r="U129" s="29"/>
      <c r="V129" s="23">
        <f>T129-W129</f>
        <v>882317.93790849671</v>
      </c>
      <c r="W129" s="18">
        <f>E129*2</f>
        <v>81674</v>
      </c>
      <c r="X129" s="47"/>
      <c r="Y129" s="34"/>
      <c r="Z129" s="34"/>
      <c r="AA129" s="34"/>
      <c r="AB129" s="45"/>
    </row>
    <row r="130" spans="1:28" s="62" customFormat="1" ht="15.6" thickTop="1" thickBot="1">
      <c r="A130" s="69" t="s">
        <v>21</v>
      </c>
      <c r="B130" s="224">
        <v>2014</v>
      </c>
      <c r="C130" s="223">
        <f>SUM(C126:C129)</f>
        <v>2935181</v>
      </c>
      <c r="D130" s="55">
        <f t="shared" si="69"/>
        <v>2845433</v>
      </c>
      <c r="E130" s="58">
        <f>SUM(E126:E129)</f>
        <v>89748</v>
      </c>
      <c r="F130" s="53">
        <f>SUM(F126:F129)</f>
        <v>2186609</v>
      </c>
      <c r="G130" s="53">
        <f>SUM(G126:G129)</f>
        <v>86491</v>
      </c>
      <c r="H130" s="53">
        <f>SUM(H126:H129)</f>
        <v>246209</v>
      </c>
      <c r="I130" s="57">
        <f>SUM(I126:I129)</f>
        <v>415872</v>
      </c>
      <c r="J130" s="56">
        <f t="shared" si="74"/>
        <v>74.496564266394472</v>
      </c>
      <c r="K130" s="56">
        <f t="shared" si="74"/>
        <v>2.9467007315732827</v>
      </c>
      <c r="L130" s="56">
        <f t="shared" si="72"/>
        <v>77.443264997967759</v>
      </c>
      <c r="M130" s="56">
        <f t="shared" si="75"/>
        <v>8.3882050204058967</v>
      </c>
      <c r="N130" s="56">
        <f t="shared" si="75"/>
        <v>14.168529981626346</v>
      </c>
      <c r="O130" s="66">
        <f t="shared" si="73"/>
        <v>3.057664927648414</v>
      </c>
      <c r="P130" s="53">
        <f>SUM(P126:P129)</f>
        <v>4373218</v>
      </c>
      <c r="Q130" s="53">
        <f>SUM(Q126:Q129)</f>
        <v>101754.11764705883</v>
      </c>
      <c r="R130" s="53">
        <f>SUM(R126:R129)</f>
        <v>547131.11111111112</v>
      </c>
      <c r="S130" s="53">
        <f>SUM(S126:S129)</f>
        <v>1039680</v>
      </c>
      <c r="T130" s="54">
        <f>SUM(T126:T129)</f>
        <v>6061783.2287581693</v>
      </c>
      <c r="U130" s="57">
        <f>T130/T125*100</f>
        <v>113.51763784623765</v>
      </c>
      <c r="V130" s="55">
        <f>SUM(V126:V129)</f>
        <v>5882287.2287581693</v>
      </c>
      <c r="W130" s="58">
        <f>SUM(W126:W129)</f>
        <v>179496</v>
      </c>
      <c r="X130" s="59">
        <f>P130/T130*100</f>
        <v>72.144084256472283</v>
      </c>
      <c r="Y130" s="60">
        <f>Q130/T130*100</f>
        <v>1.6786168988082475</v>
      </c>
      <c r="Z130" s="60">
        <f>R130/T130*100</f>
        <v>9.0259102060170111</v>
      </c>
      <c r="AA130" s="60">
        <f>S130/T130*100</f>
        <v>17.151388638702464</v>
      </c>
      <c r="AB130" s="61">
        <f>W130/T130*100</f>
        <v>2.9611088556984235</v>
      </c>
    </row>
    <row r="131" spans="1:28" ht="12.6" thickTop="1">
      <c r="A131" s="42" t="s">
        <v>9</v>
      </c>
      <c r="B131" s="198">
        <v>2015</v>
      </c>
      <c r="C131" s="5">
        <f>F131+G131+H131+I131</f>
        <v>429297</v>
      </c>
      <c r="D131" s="23">
        <f>C131-E131</f>
        <v>423925</v>
      </c>
      <c r="E131" s="18">
        <v>5372</v>
      </c>
      <c r="F131" s="2">
        <v>317031</v>
      </c>
      <c r="G131" s="2">
        <v>16803</v>
      </c>
      <c r="H131" s="2">
        <v>28245</v>
      </c>
      <c r="I131" s="75">
        <v>67218</v>
      </c>
      <c r="J131" s="185">
        <f t="shared" ref="J131:K134" si="76">F131/Gesamt*100</f>
        <v>73.848873856560843</v>
      </c>
      <c r="K131" s="199">
        <f t="shared" si="76"/>
        <v>3.9140734736091796</v>
      </c>
      <c r="L131" s="76">
        <f>SUM(J131:K131)</f>
        <v>77.762947330170022</v>
      </c>
      <c r="M131" s="199">
        <f t="shared" ref="M131:N137" si="77">H131/Gesamt*100</f>
        <v>6.5793611415872917</v>
      </c>
      <c r="N131" s="199">
        <f t="shared" si="77"/>
        <v>15.657691528242685</v>
      </c>
      <c r="O131" s="65">
        <f>E131/Gesamt*100</f>
        <v>1.2513481342753385</v>
      </c>
      <c r="P131" s="2">
        <f>F131*2</f>
        <v>634062</v>
      </c>
      <c r="Q131" s="2">
        <f>G131/0.85</f>
        <v>19768.235294117647</v>
      </c>
      <c r="R131" s="2">
        <f>H131/0.45</f>
        <v>62766.666666666664</v>
      </c>
      <c r="S131" s="2">
        <f>I131/0.4</f>
        <v>168045</v>
      </c>
      <c r="T131" s="5">
        <f>SUM(P131:S131)</f>
        <v>884641.90196078422</v>
      </c>
      <c r="U131" s="29"/>
      <c r="V131" s="23">
        <f>T131-W131</f>
        <v>873897.90196078422</v>
      </c>
      <c r="W131" s="18">
        <f>E131*2</f>
        <v>10744</v>
      </c>
      <c r="X131" s="47"/>
      <c r="Y131" s="34"/>
      <c r="Z131" s="34"/>
      <c r="AA131" s="34"/>
      <c r="AB131" s="45"/>
    </row>
    <row r="132" spans="1:28">
      <c r="A132" s="42" t="s">
        <v>10</v>
      </c>
      <c r="B132" s="198">
        <v>2015</v>
      </c>
      <c r="C132" s="5">
        <f>F132+G132+H132+I132</f>
        <v>517982</v>
      </c>
      <c r="D132" s="23">
        <f>C132-E132</f>
        <v>517539</v>
      </c>
      <c r="E132" s="18">
        <v>443</v>
      </c>
      <c r="F132" s="2">
        <v>379629</v>
      </c>
      <c r="G132" s="2">
        <v>17763</v>
      </c>
      <c r="H132" s="2">
        <v>67325</v>
      </c>
      <c r="I132" s="75">
        <v>53265</v>
      </c>
      <c r="J132" s="185">
        <f t="shared" si="76"/>
        <v>73.289998494156166</v>
      </c>
      <c r="K132" s="199">
        <f t="shared" si="76"/>
        <v>3.4292697429640411</v>
      </c>
      <c r="L132" s="76">
        <f>SUM(J132:K132)</f>
        <v>76.719268237120204</v>
      </c>
      <c r="M132" s="199">
        <f t="shared" si="77"/>
        <v>12.997555899625857</v>
      </c>
      <c r="N132" s="199">
        <f t="shared" si="77"/>
        <v>10.283175863253934</v>
      </c>
      <c r="O132" s="65">
        <f>E132/Gesamt*100</f>
        <v>8.5524207404890529E-2</v>
      </c>
      <c r="P132" s="2">
        <f>F132*2</f>
        <v>759258</v>
      </c>
      <c r="Q132" s="2">
        <f>G132/0.85</f>
        <v>20897.647058823532</v>
      </c>
      <c r="R132" s="2">
        <f>H132/0.45</f>
        <v>149611.11111111109</v>
      </c>
      <c r="S132" s="2">
        <f>I132/0.4</f>
        <v>133162.5</v>
      </c>
      <c r="T132" s="5">
        <f>SUM(P132:S132)</f>
        <v>1062929.2581699346</v>
      </c>
      <c r="U132" s="29"/>
      <c r="V132" s="23">
        <f>T132-W132</f>
        <v>1062043.2581699346</v>
      </c>
      <c r="W132" s="18">
        <f>E132*2</f>
        <v>886</v>
      </c>
      <c r="X132" s="47"/>
      <c r="Y132" s="34"/>
      <c r="Z132" s="34"/>
      <c r="AA132" s="34"/>
      <c r="AB132" s="45"/>
    </row>
    <row r="133" spans="1:28">
      <c r="A133" s="42" t="s">
        <v>11</v>
      </c>
      <c r="B133" s="198">
        <v>2015</v>
      </c>
      <c r="C133" s="5">
        <f>F133+G133+H133+I133</f>
        <v>1309065</v>
      </c>
      <c r="D133" s="23">
        <f>C133-E133</f>
        <v>1271599</v>
      </c>
      <c r="E133" s="18">
        <v>37466</v>
      </c>
      <c r="F133" s="178">
        <v>1068264</v>
      </c>
      <c r="G133" s="178">
        <v>43952</v>
      </c>
      <c r="H133" s="178">
        <v>102168</v>
      </c>
      <c r="I133" s="182">
        <v>94681</v>
      </c>
      <c r="J133" s="185">
        <f t="shared" si="76"/>
        <v>81.605115101236379</v>
      </c>
      <c r="K133" s="199">
        <f t="shared" si="76"/>
        <v>3.3575108951809116</v>
      </c>
      <c r="L133" s="76">
        <f>SUM(J133:K133)</f>
        <v>84.962625996417287</v>
      </c>
      <c r="M133" s="199">
        <f t="shared" si="77"/>
        <v>7.8046544671196623</v>
      </c>
      <c r="N133" s="199">
        <f t="shared" si="77"/>
        <v>7.2327195364630477</v>
      </c>
      <c r="O133" s="65">
        <f>E133/Gesamt*100</f>
        <v>2.8620427557073178</v>
      </c>
      <c r="P133" s="2">
        <f>F133*2</f>
        <v>2136528</v>
      </c>
      <c r="Q133" s="2">
        <f>G133/0.85</f>
        <v>51708.23529411765</v>
      </c>
      <c r="R133" s="2">
        <f>H133/0.45</f>
        <v>227040</v>
      </c>
      <c r="S133" s="2">
        <f>I133/0.4</f>
        <v>236702.5</v>
      </c>
      <c r="T133" s="5">
        <f>SUM(P133:S133)</f>
        <v>2651978.7352941176</v>
      </c>
      <c r="U133" s="29"/>
      <c r="V133" s="23">
        <f>T133-W133</f>
        <v>2577046.7352941176</v>
      </c>
      <c r="W133" s="18">
        <f>E133*2</f>
        <v>74932</v>
      </c>
      <c r="X133" s="47"/>
      <c r="Y133" s="34"/>
      <c r="Z133" s="34"/>
      <c r="AA133" s="34"/>
      <c r="AB133" s="45"/>
    </row>
    <row r="134" spans="1:28" ht="12.6" thickBot="1">
      <c r="A134" s="42" t="s">
        <v>12</v>
      </c>
      <c r="B134" s="198">
        <v>2015</v>
      </c>
      <c r="C134" s="5">
        <f>F134+G134+H134+I134</f>
        <v>357652</v>
      </c>
      <c r="D134" s="23">
        <f>C134-E134</f>
        <v>333862</v>
      </c>
      <c r="E134" s="151">
        <v>23790</v>
      </c>
      <c r="F134" s="208">
        <v>189390</v>
      </c>
      <c r="G134" s="150">
        <v>6814</v>
      </c>
      <c r="H134" s="150">
        <v>9358</v>
      </c>
      <c r="I134" s="150">
        <v>152090</v>
      </c>
      <c r="J134" s="211">
        <f t="shared" si="76"/>
        <v>52.953709192175637</v>
      </c>
      <c r="K134" s="199">
        <f t="shared" si="76"/>
        <v>1.9052039412613377</v>
      </c>
      <c r="L134" s="76">
        <f>SUM(J134:K134)</f>
        <v>54.858913133436978</v>
      </c>
      <c r="M134" s="199">
        <f t="shared" si="77"/>
        <v>2.6165099034815968</v>
      </c>
      <c r="N134" s="199">
        <f t="shared" si="77"/>
        <v>42.524576963081429</v>
      </c>
      <c r="O134" s="217">
        <f>E134/Gesamt*100</f>
        <v>6.6517173118002981</v>
      </c>
      <c r="P134" s="218">
        <f>F134*2</f>
        <v>378780</v>
      </c>
      <c r="Q134" s="2">
        <f>G134/0.85</f>
        <v>8016.4705882352946</v>
      </c>
      <c r="R134" s="2">
        <f>H134/0.45</f>
        <v>20795.555555555555</v>
      </c>
      <c r="S134" s="216">
        <f>I134/0.4</f>
        <v>380225</v>
      </c>
      <c r="T134" s="29">
        <f>SUM(P134:S134)</f>
        <v>787817.02614379092</v>
      </c>
      <c r="U134" s="29"/>
      <c r="V134" s="23">
        <f>T134-W134</f>
        <v>740237.02614379092</v>
      </c>
      <c r="W134" s="18">
        <f>E134*2</f>
        <v>47580</v>
      </c>
      <c r="X134" s="47"/>
      <c r="Y134" s="34"/>
      <c r="Z134" s="34"/>
      <c r="AA134" s="34"/>
      <c r="AB134" s="45"/>
    </row>
    <row r="135" spans="1:28" s="62" customFormat="1" ht="15.6" thickTop="1" thickBot="1">
      <c r="A135" s="69" t="s">
        <v>21</v>
      </c>
      <c r="B135" s="224">
        <v>2015</v>
      </c>
      <c r="C135" s="223">
        <f>SUM(C131:C134)</f>
        <v>2613996</v>
      </c>
      <c r="D135" s="55">
        <f>C135-E135</f>
        <v>2546925</v>
      </c>
      <c r="E135" s="213">
        <f>SUM(E131:E134)</f>
        <v>67071</v>
      </c>
      <c r="F135" s="214">
        <f>SUM(F131:F134)</f>
        <v>1954314</v>
      </c>
      <c r="G135" s="201">
        <f>SUM(G131:G134)</f>
        <v>85332</v>
      </c>
      <c r="H135" s="53">
        <f>SUM(H131:H134)</f>
        <v>207096</v>
      </c>
      <c r="I135" s="53">
        <f>SUM(I131:I134)</f>
        <v>367254</v>
      </c>
      <c r="J135" s="212">
        <f>F135/C135*100</f>
        <v>74.763465590612981</v>
      </c>
      <c r="K135" s="202">
        <f>G135/Gesamt*100</f>
        <v>3.2644273365376231</v>
      </c>
      <c r="L135" s="56">
        <f>SUM(J135:K135)</f>
        <v>78.027892927150603</v>
      </c>
      <c r="M135" s="56">
        <f t="shared" si="77"/>
        <v>7.922582896071761</v>
      </c>
      <c r="N135" s="202">
        <f t="shared" si="77"/>
        <v>14.049524176777622</v>
      </c>
      <c r="O135" s="219">
        <f>E135/Gesamt*100</f>
        <v>2.5658417227876402</v>
      </c>
      <c r="P135" s="220">
        <f>SUM(P131:P134)</f>
        <v>3908628</v>
      </c>
      <c r="Q135" s="53">
        <f>SUM(Q131:Q134)</f>
        <v>100390.58823529413</v>
      </c>
      <c r="R135" s="53">
        <f>SUM(R131:R134)</f>
        <v>460213.33333333331</v>
      </c>
      <c r="S135" s="53">
        <f>SUM(S131:S134)</f>
        <v>918135</v>
      </c>
      <c r="T135" s="215">
        <f>SUM(T131:T134)</f>
        <v>5387366.9215686275</v>
      </c>
      <c r="U135" s="57">
        <f>T135/T120*100</f>
        <v>102.10460700677748</v>
      </c>
      <c r="V135" s="55">
        <f>SUM(V131:V134)</f>
        <v>5253224.9215686275</v>
      </c>
      <c r="W135" s="200">
        <f>SUM(W131:W134)</f>
        <v>134142</v>
      </c>
      <c r="X135" s="59">
        <f>P135/T135*100</f>
        <v>72.551731799658697</v>
      </c>
      <c r="Y135" s="60">
        <f>Q135/T135*100</f>
        <v>1.863444419079286</v>
      </c>
      <c r="Z135" s="60">
        <f>R135/T135*100</f>
        <v>8.5424538560914289</v>
      </c>
      <c r="AA135" s="60">
        <f>S135/T135*100</f>
        <v>17.042369925170583</v>
      </c>
      <c r="AB135" s="61">
        <f>W135/T135*100</f>
        <v>2.4899362147203106</v>
      </c>
    </row>
    <row r="136" spans="1:28" ht="12.6" thickTop="1">
      <c r="A136" s="42" t="s">
        <v>9</v>
      </c>
      <c r="B136" s="198">
        <v>2016</v>
      </c>
      <c r="C136" s="5">
        <f>F136+G136+H136+I136</f>
        <v>327397</v>
      </c>
      <c r="D136" s="23">
        <f t="shared" si="69"/>
        <v>320850</v>
      </c>
      <c r="E136" s="18">
        <v>6547</v>
      </c>
      <c r="F136" s="2">
        <v>254892</v>
      </c>
      <c r="G136" s="2">
        <v>14727</v>
      </c>
      <c r="H136" s="2">
        <v>19847</v>
      </c>
      <c r="I136" s="75">
        <v>37931</v>
      </c>
      <c r="J136" s="185">
        <f>F136/Gesamt*100</f>
        <v>77.854103733387902</v>
      </c>
      <c r="K136" s="199">
        <f>G136/Gesamt*100</f>
        <v>4.4982085969022316</v>
      </c>
      <c r="L136" s="76">
        <f t="shared" si="72"/>
        <v>82.352312330290133</v>
      </c>
      <c r="M136" s="199">
        <f t="shared" si="77"/>
        <v>6.0620592125156918</v>
      </c>
      <c r="N136" s="199">
        <f t="shared" si="77"/>
        <v>11.58562845719417</v>
      </c>
      <c r="O136" s="65">
        <f t="shared" si="73"/>
        <v>1.9997128868010396</v>
      </c>
      <c r="P136" s="2">
        <f>F136*2</f>
        <v>509784</v>
      </c>
      <c r="Q136" s="2">
        <f>G136/0.85</f>
        <v>17325.882352941178</v>
      </c>
      <c r="R136" s="2">
        <f>H136/0.45</f>
        <v>44104.444444444445</v>
      </c>
      <c r="S136" s="2">
        <f>I136/0.4</f>
        <v>94827.5</v>
      </c>
      <c r="T136" s="5">
        <f>SUM(P136:S136)</f>
        <v>666041.8267973857</v>
      </c>
      <c r="U136" s="29"/>
      <c r="V136" s="23">
        <f>T136-W136</f>
        <v>652947.8267973857</v>
      </c>
      <c r="W136" s="18">
        <f>E136*2</f>
        <v>13094</v>
      </c>
      <c r="X136" s="47"/>
      <c r="Y136" s="34"/>
      <c r="Z136" s="34"/>
      <c r="AA136" s="34"/>
      <c r="AB136" s="45"/>
    </row>
    <row r="137" spans="1:28">
      <c r="A137" s="42" t="s">
        <v>10</v>
      </c>
      <c r="B137" s="198">
        <v>2016</v>
      </c>
      <c r="C137" s="5">
        <f>F137+G137+H137+I137</f>
        <v>469786</v>
      </c>
      <c r="D137" s="23">
        <f t="shared" si="69"/>
        <v>469786</v>
      </c>
      <c r="E137" s="18">
        <v>0</v>
      </c>
      <c r="F137" s="2">
        <v>372870</v>
      </c>
      <c r="G137" s="2">
        <v>18023</v>
      </c>
      <c r="H137" s="2">
        <v>40989</v>
      </c>
      <c r="I137" s="75">
        <v>37904</v>
      </c>
      <c r="J137" s="185">
        <f>F137/Gesamt*100</f>
        <v>79.370181316599471</v>
      </c>
      <c r="K137" s="199">
        <f>G137/Gesamt*100</f>
        <v>3.8364276500363994</v>
      </c>
      <c r="L137" s="76">
        <f t="shared" si="72"/>
        <v>83.206608966635869</v>
      </c>
      <c r="M137" s="199">
        <f t="shared" si="77"/>
        <v>8.7250365059835762</v>
      </c>
      <c r="N137" s="199">
        <f t="shared" si="77"/>
        <v>8.068354527380551</v>
      </c>
      <c r="O137" s="65">
        <f t="shared" si="73"/>
        <v>0</v>
      </c>
      <c r="P137" s="2">
        <f>F137*2</f>
        <v>745740</v>
      </c>
      <c r="Q137" s="2">
        <f>G137/0.85</f>
        <v>21203.529411764706</v>
      </c>
      <c r="R137" s="2">
        <f>H137/0.45</f>
        <v>91086.666666666672</v>
      </c>
      <c r="S137" s="2">
        <f>I137/0.4</f>
        <v>94760</v>
      </c>
      <c r="T137" s="5">
        <f>SUM(P137:S137)</f>
        <v>952790.19607843133</v>
      </c>
      <c r="U137" s="29"/>
      <c r="V137" s="23">
        <f>T137-W137</f>
        <v>952790.19607843133</v>
      </c>
      <c r="W137" s="18">
        <f>E137*2</f>
        <v>0</v>
      </c>
      <c r="X137" s="47"/>
      <c r="Y137" s="34"/>
      <c r="Z137" s="34"/>
      <c r="AA137" s="34"/>
      <c r="AB137" s="45"/>
    </row>
    <row r="138" spans="1:28">
      <c r="A138" s="42" t="s">
        <v>11</v>
      </c>
      <c r="B138" s="198">
        <v>2016</v>
      </c>
      <c r="C138" s="5">
        <f>F138+G138+H138+I138</f>
        <v>1239068</v>
      </c>
      <c r="D138" s="23">
        <f t="shared" si="69"/>
        <v>1210943</v>
      </c>
      <c r="E138" s="18">
        <v>28125</v>
      </c>
      <c r="F138" s="178">
        <v>1034267</v>
      </c>
      <c r="G138" s="178">
        <v>40952</v>
      </c>
      <c r="H138" s="178">
        <v>67264</v>
      </c>
      <c r="I138" s="182">
        <v>96585</v>
      </c>
      <c r="J138" s="185">
        <f t="shared" ref="J138:K140" si="78">F138/Gesamt*100</f>
        <v>83.471367188887129</v>
      </c>
      <c r="K138" s="199">
        <f t="shared" si="78"/>
        <v>3.3050647744917958</v>
      </c>
      <c r="L138" s="76">
        <f t="shared" si="72"/>
        <v>86.776431963378926</v>
      </c>
      <c r="M138" s="199">
        <f t="shared" ref="M138:N142" si="79">H138/Gesamt*100</f>
        <v>5.4285963320818551</v>
      </c>
      <c r="N138" s="199">
        <f t="shared" si="79"/>
        <v>7.7949717045392175</v>
      </c>
      <c r="O138" s="65">
        <f t="shared" si="73"/>
        <v>2.2698512107487243</v>
      </c>
      <c r="P138" s="2">
        <f>F138*2</f>
        <v>2068534</v>
      </c>
      <c r="Q138" s="2">
        <f>G138/0.85</f>
        <v>48178.823529411769</v>
      </c>
      <c r="R138" s="2">
        <f>H138/0.45</f>
        <v>149475.55555555556</v>
      </c>
      <c r="S138" s="2">
        <f>I138/0.4</f>
        <v>241462.5</v>
      </c>
      <c r="T138" s="5">
        <f>SUM(P138:S138)</f>
        <v>2507650.8790849671</v>
      </c>
      <c r="U138" s="29"/>
      <c r="V138" s="23">
        <f>T138-W138</f>
        <v>2451400.8790849671</v>
      </c>
      <c r="W138" s="18">
        <f>E138*2</f>
        <v>56250</v>
      </c>
      <c r="X138" s="47"/>
      <c r="Y138" s="34"/>
      <c r="Z138" s="34"/>
      <c r="AA138" s="34"/>
      <c r="AB138" s="45"/>
    </row>
    <row r="139" spans="1:28" ht="12.6" thickBot="1">
      <c r="A139" s="42" t="s">
        <v>12</v>
      </c>
      <c r="B139" s="198">
        <v>2016</v>
      </c>
      <c r="C139" s="5">
        <f>F139+G139+H139+I139</f>
        <v>418982</v>
      </c>
      <c r="D139" s="23">
        <f t="shared" si="69"/>
        <v>392262</v>
      </c>
      <c r="E139" s="151">
        <v>26720</v>
      </c>
      <c r="F139" s="208">
        <v>270841</v>
      </c>
      <c r="G139" s="150">
        <v>7134</v>
      </c>
      <c r="H139" s="150">
        <v>14228</v>
      </c>
      <c r="I139" s="150">
        <v>126779</v>
      </c>
      <c r="J139" s="211">
        <f t="shared" si="78"/>
        <v>64.642633812431086</v>
      </c>
      <c r="K139" s="199">
        <f t="shared" si="78"/>
        <v>1.7026984452792722</v>
      </c>
      <c r="L139" s="76">
        <f t="shared" si="72"/>
        <v>66.345332257710353</v>
      </c>
      <c r="M139" s="199">
        <f t="shared" si="79"/>
        <v>3.3958499410475866</v>
      </c>
      <c r="N139" s="199">
        <f t="shared" si="79"/>
        <v>30.25881780124206</v>
      </c>
      <c r="O139" s="217">
        <f t="shared" si="73"/>
        <v>6.3773622733196174</v>
      </c>
      <c r="P139" s="218">
        <f>F139*2</f>
        <v>541682</v>
      </c>
      <c r="Q139" s="2">
        <f>G139/0.85</f>
        <v>8392.9411764705892</v>
      </c>
      <c r="R139" s="2">
        <f>H139/0.45</f>
        <v>31617.777777777777</v>
      </c>
      <c r="S139" s="216">
        <f>I139/0.4</f>
        <v>316947.5</v>
      </c>
      <c r="T139" s="29">
        <f>SUM(P139:S139)</f>
        <v>898640.21895424835</v>
      </c>
      <c r="U139" s="29"/>
      <c r="V139" s="23">
        <f>T139-W139</f>
        <v>845200.21895424835</v>
      </c>
      <c r="W139" s="18">
        <f>E139*2</f>
        <v>53440</v>
      </c>
      <c r="X139" s="47"/>
      <c r="Y139" s="34"/>
      <c r="Z139" s="34"/>
      <c r="AA139" s="34"/>
      <c r="AB139" s="45"/>
    </row>
    <row r="140" spans="1:28" s="62" customFormat="1" ht="15.6" thickTop="1" thickBot="1">
      <c r="A140" s="69" t="s">
        <v>21</v>
      </c>
      <c r="B140" s="224">
        <v>2016</v>
      </c>
      <c r="C140" s="223">
        <f>SUM(C136:C139)</f>
        <v>2455233</v>
      </c>
      <c r="D140" s="55">
        <f t="shared" si="69"/>
        <v>2393841</v>
      </c>
      <c r="E140" s="213">
        <f>SUM(E136:E139)</f>
        <v>61392</v>
      </c>
      <c r="F140" s="214">
        <f>SUM(F136:F139)</f>
        <v>1932870</v>
      </c>
      <c r="G140" s="201">
        <f>SUM(G136:G139)</f>
        <v>80836</v>
      </c>
      <c r="H140" s="53">
        <f>SUM(H136:H139)</f>
        <v>142328</v>
      </c>
      <c r="I140" s="53">
        <f>SUM(I136:I139)</f>
        <v>299199</v>
      </c>
      <c r="J140" s="212">
        <f>F140/C140*100</f>
        <v>78.72450394728321</v>
      </c>
      <c r="K140" s="202">
        <f t="shared" si="78"/>
        <v>3.2923962817378229</v>
      </c>
      <c r="L140" s="56">
        <f t="shared" si="72"/>
        <v>82.016900229021033</v>
      </c>
      <c r="M140" s="56">
        <f t="shared" si="79"/>
        <v>5.7969243652231786</v>
      </c>
      <c r="N140" s="202">
        <f t="shared" si="79"/>
        <v>12.186175405755789</v>
      </c>
      <c r="O140" s="219">
        <f t="shared" si="73"/>
        <v>2.5004551502851258</v>
      </c>
      <c r="P140" s="214">
        <f>SUM(P136:P139)</f>
        <v>3865740</v>
      </c>
      <c r="Q140" s="201">
        <f>SUM(Q136:Q139)</f>
        <v>95101.176470588238</v>
      </c>
      <c r="R140" s="53">
        <f>SUM(R136:R139)</f>
        <v>316284.44444444444</v>
      </c>
      <c r="S140" s="53">
        <f>SUM(S136:S139)</f>
        <v>747997.5</v>
      </c>
      <c r="T140" s="215">
        <f>SUM(T136:T139)</f>
        <v>5025123.1209150329</v>
      </c>
      <c r="U140" s="57">
        <f>T140/T125*100</f>
        <v>94.104339440334911</v>
      </c>
      <c r="V140" s="55">
        <f>SUM(V136:V139)</f>
        <v>4902339.1209150329</v>
      </c>
      <c r="W140" s="200">
        <f>SUM(W136:W139)</f>
        <v>122784</v>
      </c>
      <c r="X140" s="59">
        <f>P140/T140*100</f>
        <v>76.928264382427329</v>
      </c>
      <c r="Y140" s="60">
        <f>Q140/T140*100</f>
        <v>1.8925143560118602</v>
      </c>
      <c r="Z140" s="60">
        <f>R140/T140*100</f>
        <v>6.2940635847913651</v>
      </c>
      <c r="AA140" s="60">
        <f>S140/T140*100</f>
        <v>14.88515767676944</v>
      </c>
      <c r="AB140" s="61">
        <f>W140/T140*100</f>
        <v>2.443402819106292</v>
      </c>
    </row>
    <row r="141" spans="1:28" ht="12.6" thickTop="1">
      <c r="A141" s="42" t="s">
        <v>9</v>
      </c>
      <c r="B141" s="198">
        <v>2017</v>
      </c>
      <c r="C141" s="5">
        <f>F141+G141+H141+I141</f>
        <v>472535</v>
      </c>
      <c r="D141" s="23">
        <f t="shared" ref="D141:D150" si="80">C141-E141</f>
        <v>467181</v>
      </c>
      <c r="E141" s="18">
        <v>5354</v>
      </c>
      <c r="F141" s="2">
        <v>378493</v>
      </c>
      <c r="G141" s="2">
        <v>16621</v>
      </c>
      <c r="H141" s="2">
        <v>32339</v>
      </c>
      <c r="I141" s="75">
        <v>45082</v>
      </c>
      <c r="J141" s="185">
        <f t="shared" ref="J141:K144" si="81">F141/Gesamt*100</f>
        <v>80.098405409123131</v>
      </c>
      <c r="K141" s="199">
        <f t="shared" si="81"/>
        <v>3.517411408678722</v>
      </c>
      <c r="L141" s="76">
        <f t="shared" ref="L141:L150" si="82">SUM(J141:K141)</f>
        <v>83.615816817801857</v>
      </c>
      <c r="M141" s="199">
        <f t="shared" si="79"/>
        <v>6.8437258615763916</v>
      </c>
      <c r="N141" s="199">
        <f t="shared" si="79"/>
        <v>9.5404573206217531</v>
      </c>
      <c r="O141" s="65">
        <f t="shared" ref="O141:O150" si="83">E141/Gesamt*100</f>
        <v>1.1330377643984044</v>
      </c>
      <c r="P141" s="2">
        <f>F141*2</f>
        <v>756986</v>
      </c>
      <c r="Q141" s="2">
        <f>G141/0.85</f>
        <v>19554.117647058825</v>
      </c>
      <c r="R141" s="2">
        <f>H141/0.45</f>
        <v>71864.444444444438</v>
      </c>
      <c r="S141" s="2">
        <f>I141/0.4</f>
        <v>112705</v>
      </c>
      <c r="T141" s="5">
        <f>SUM(P141:S141)</f>
        <v>961109.56209150329</v>
      </c>
      <c r="U141" s="29"/>
      <c r="V141" s="23">
        <f>T141-W141</f>
        <v>950401.56209150329</v>
      </c>
      <c r="W141" s="18">
        <f>E141*2</f>
        <v>10708</v>
      </c>
      <c r="X141" s="47"/>
      <c r="Y141" s="34"/>
      <c r="Z141" s="34"/>
      <c r="AA141" s="34"/>
      <c r="AB141" s="45"/>
    </row>
    <row r="142" spans="1:28">
      <c r="A142" s="42" t="s">
        <v>10</v>
      </c>
      <c r="B142" s="198">
        <v>2017</v>
      </c>
      <c r="C142" s="5">
        <f>F142+G142+H142+I142</f>
        <v>507382</v>
      </c>
      <c r="D142" s="23">
        <f t="shared" si="80"/>
        <v>507382</v>
      </c>
      <c r="E142" s="18">
        <v>0</v>
      </c>
      <c r="F142" s="2">
        <v>392766</v>
      </c>
      <c r="G142" s="2">
        <v>18184</v>
      </c>
      <c r="H142" s="2">
        <v>46007</v>
      </c>
      <c r="I142" s="75">
        <v>50425</v>
      </c>
      <c r="J142" s="185">
        <f t="shared" si="81"/>
        <v>77.410314122298388</v>
      </c>
      <c r="K142" s="199">
        <f t="shared" si="81"/>
        <v>3.5838874851689657</v>
      </c>
      <c r="L142" s="76">
        <f t="shared" si="82"/>
        <v>80.99420160746736</v>
      </c>
      <c r="M142" s="199">
        <f t="shared" si="79"/>
        <v>9.0675270309155618</v>
      </c>
      <c r="N142" s="199">
        <f t="shared" si="79"/>
        <v>9.938271361617085</v>
      </c>
      <c r="O142" s="65">
        <f t="shared" si="83"/>
        <v>0</v>
      </c>
      <c r="P142" s="2">
        <f>F142*2</f>
        <v>785532</v>
      </c>
      <c r="Q142" s="2">
        <f>G142/0.85</f>
        <v>21392.941176470587</v>
      </c>
      <c r="R142" s="2">
        <f>H142/0.45</f>
        <v>102237.77777777778</v>
      </c>
      <c r="S142" s="2">
        <f>I142/0.4</f>
        <v>126062.5</v>
      </c>
      <c r="T142" s="5">
        <f>SUM(P142:S142)</f>
        <v>1035225.2189542484</v>
      </c>
      <c r="U142" s="29"/>
      <c r="V142" s="23">
        <f>T142-W142</f>
        <v>1035225.2189542484</v>
      </c>
      <c r="W142" s="18">
        <f>E142*2</f>
        <v>0</v>
      </c>
      <c r="X142" s="47"/>
      <c r="Y142" s="34"/>
      <c r="Z142" s="34"/>
      <c r="AA142" s="34"/>
      <c r="AB142" s="45"/>
    </row>
    <row r="143" spans="1:28">
      <c r="A143" s="42" t="s">
        <v>11</v>
      </c>
      <c r="B143" s="198">
        <v>2017</v>
      </c>
      <c r="C143" s="5">
        <f>F143+G143+H143+I143</f>
        <v>1435414</v>
      </c>
      <c r="D143" s="23">
        <f t="shared" si="80"/>
        <v>1412612</v>
      </c>
      <c r="E143" s="244">
        <v>22802</v>
      </c>
      <c r="F143" s="245">
        <v>1191565</v>
      </c>
      <c r="G143" s="245">
        <v>44040</v>
      </c>
      <c r="H143" s="245">
        <v>78955</v>
      </c>
      <c r="I143" s="246">
        <v>120854</v>
      </c>
      <c r="J143" s="185">
        <f t="shared" si="81"/>
        <v>83.011939412601521</v>
      </c>
      <c r="K143" s="199">
        <f t="shared" si="81"/>
        <v>3.0681043935756511</v>
      </c>
      <c r="L143" s="76">
        <f t="shared" si="82"/>
        <v>86.080043806177173</v>
      </c>
      <c r="M143" s="199">
        <f t="shared" ref="M143:N147" si="84">H143/Gesamt*100</f>
        <v>5.5005036874379094</v>
      </c>
      <c r="N143" s="199">
        <f t="shared" si="84"/>
        <v>8.4194525063849177</v>
      </c>
      <c r="O143" s="65">
        <f t="shared" si="83"/>
        <v>1.5885312530043598</v>
      </c>
      <c r="P143" s="2">
        <f>F143*2</f>
        <v>2383130</v>
      </c>
      <c r="Q143" s="2">
        <f>G143/0.85</f>
        <v>51811.764705882357</v>
      </c>
      <c r="R143" s="2">
        <f>H143/0.45</f>
        <v>175455.55555555556</v>
      </c>
      <c r="S143" s="2">
        <f>I143/0.4</f>
        <v>302135</v>
      </c>
      <c r="T143" s="5">
        <f>SUM(P143:S143)</f>
        <v>2912532.3202614379</v>
      </c>
      <c r="U143" s="29"/>
      <c r="V143" s="23">
        <f>T143-W143</f>
        <v>2866928.3202614379</v>
      </c>
      <c r="W143" s="18">
        <f>E143*2</f>
        <v>45604</v>
      </c>
      <c r="X143" s="47"/>
      <c r="Y143" s="34"/>
      <c r="Z143" s="34"/>
      <c r="AA143" s="34"/>
      <c r="AB143" s="45"/>
    </row>
    <row r="144" spans="1:28" ht="12.6" thickBot="1">
      <c r="A144" s="42" t="s">
        <v>12</v>
      </c>
      <c r="B144" s="198">
        <v>2017</v>
      </c>
      <c r="C144" s="5">
        <f>F144+G144+H144+I144</f>
        <v>337968</v>
      </c>
      <c r="D144" s="23">
        <f t="shared" si="80"/>
        <v>320145</v>
      </c>
      <c r="E144" s="251">
        <v>17823</v>
      </c>
      <c r="F144" s="252">
        <v>189075</v>
      </c>
      <c r="G144" s="253">
        <v>7562</v>
      </c>
      <c r="H144" s="253">
        <v>8469</v>
      </c>
      <c r="I144" s="253">
        <v>132862</v>
      </c>
      <c r="J144" s="211">
        <f t="shared" si="81"/>
        <v>55.944645646925153</v>
      </c>
      <c r="K144" s="199">
        <f t="shared" si="81"/>
        <v>2.2374899398759647</v>
      </c>
      <c r="L144" s="76">
        <f t="shared" si="82"/>
        <v>58.182135586801117</v>
      </c>
      <c r="M144" s="199">
        <f t="shared" si="84"/>
        <v>2.5058585428206221</v>
      </c>
      <c r="N144" s="199">
        <f t="shared" si="84"/>
        <v>39.312005870378258</v>
      </c>
      <c r="O144" s="217">
        <f t="shared" si="83"/>
        <v>5.2735761965629884</v>
      </c>
      <c r="P144" s="218">
        <f>F144*2</f>
        <v>378150</v>
      </c>
      <c r="Q144" s="2">
        <f>G144/0.85</f>
        <v>8896.4705882352937</v>
      </c>
      <c r="R144" s="2">
        <f>H144/0.45</f>
        <v>18820</v>
      </c>
      <c r="S144" s="216">
        <f>I144/0.4</f>
        <v>332155</v>
      </c>
      <c r="T144" s="29">
        <f>SUM(P144:S144)</f>
        <v>738021.4705882353</v>
      </c>
      <c r="U144" s="29"/>
      <c r="V144" s="23">
        <f>T144-W144</f>
        <v>702375.4705882353</v>
      </c>
      <c r="W144" s="18">
        <f>E144*2</f>
        <v>35646</v>
      </c>
      <c r="X144" s="47"/>
      <c r="Y144" s="34"/>
      <c r="Z144" s="34"/>
      <c r="AA144" s="34"/>
      <c r="AB144" s="45"/>
    </row>
    <row r="145" spans="1:28" s="62" customFormat="1" ht="15.6" thickTop="1" thickBot="1">
      <c r="A145" s="69" t="s">
        <v>21</v>
      </c>
      <c r="B145" s="224">
        <v>2017</v>
      </c>
      <c r="C145" s="223">
        <f>SUM(C141:C144)</f>
        <v>2753299</v>
      </c>
      <c r="D145" s="55">
        <f t="shared" si="80"/>
        <v>2707320</v>
      </c>
      <c r="E145" s="213">
        <f>SUM(E141:E144)</f>
        <v>45979</v>
      </c>
      <c r="F145" s="214">
        <f>SUM(F141:F144)</f>
        <v>2151899</v>
      </c>
      <c r="G145" s="201">
        <f>SUM(G141:G144)</f>
        <v>86407</v>
      </c>
      <c r="H145" s="53">
        <f>SUM(H141:H144)</f>
        <v>165770</v>
      </c>
      <c r="I145" s="53">
        <f>SUM(I141:I144)</f>
        <v>349223</v>
      </c>
      <c r="J145" s="212">
        <f>F145/C145*100</f>
        <v>78.157112612905465</v>
      </c>
      <c r="K145" s="202">
        <f t="shared" ref="K145:K155" si="85">G145/Gesamt*100</f>
        <v>3.1383078989968034</v>
      </c>
      <c r="L145" s="56">
        <f t="shared" si="82"/>
        <v>81.295420511902265</v>
      </c>
      <c r="M145" s="56">
        <f t="shared" si="84"/>
        <v>6.0207772566655491</v>
      </c>
      <c r="N145" s="202">
        <f t="shared" si="84"/>
        <v>12.683802231432184</v>
      </c>
      <c r="O145" s="219">
        <f t="shared" si="83"/>
        <v>1.6699602912723974</v>
      </c>
      <c r="P145" s="214">
        <f>SUM(P141:P144)</f>
        <v>4303798</v>
      </c>
      <c r="Q145" s="201">
        <f>SUM(Q141:Q144)</f>
        <v>101655.29411764708</v>
      </c>
      <c r="R145" s="53">
        <f>SUM(R141:R144)</f>
        <v>368377.77777777775</v>
      </c>
      <c r="S145" s="53">
        <f>SUM(S141:S144)</f>
        <v>873057.5</v>
      </c>
      <c r="T145" s="215">
        <f>SUM(T141:T144)</f>
        <v>5646888.5718954243</v>
      </c>
      <c r="U145" s="57">
        <f>T145/T130*100</f>
        <v>93.155567574663309</v>
      </c>
      <c r="V145" s="55">
        <f>SUM(V141:V144)</f>
        <v>5554930.5718954243</v>
      </c>
      <c r="W145" s="200">
        <f>SUM(W141:W144)</f>
        <v>91958</v>
      </c>
      <c r="X145" s="59">
        <f>P145/T145*100</f>
        <v>76.215387380229373</v>
      </c>
      <c r="Y145" s="60">
        <f>Q145/T145*100</f>
        <v>1.800200107074641</v>
      </c>
      <c r="Z145" s="60">
        <f>R145/T145*100</f>
        <v>6.5235531583037547</v>
      </c>
      <c r="AA145" s="60">
        <f>S145/T145*100</f>
        <v>15.460859354392239</v>
      </c>
      <c r="AB145" s="61">
        <f>W145/T145*100</f>
        <v>1.6284720130245733</v>
      </c>
    </row>
    <row r="146" spans="1:28" ht="12.6" thickTop="1">
      <c r="A146" s="42" t="s">
        <v>9</v>
      </c>
      <c r="B146" s="198">
        <v>2018</v>
      </c>
      <c r="C146" s="5">
        <f>F146+G146+H146+I146</f>
        <v>444805</v>
      </c>
      <c r="D146" s="23">
        <f t="shared" si="80"/>
        <v>434377</v>
      </c>
      <c r="E146" s="18">
        <v>10428</v>
      </c>
      <c r="F146" s="2">
        <v>340678</v>
      </c>
      <c r="G146" s="2">
        <v>10684</v>
      </c>
      <c r="H146" s="2">
        <v>26685</v>
      </c>
      <c r="I146" s="75">
        <v>66758</v>
      </c>
      <c r="J146" s="185">
        <f>F146/Gesamt*100</f>
        <v>76.590416024999712</v>
      </c>
      <c r="K146" s="199">
        <f t="shared" si="85"/>
        <v>2.4019514169130294</v>
      </c>
      <c r="L146" s="76">
        <f t="shared" si="82"/>
        <v>78.992367441912748</v>
      </c>
      <c r="M146" s="199">
        <f t="shared" si="84"/>
        <v>5.9992581018648616</v>
      </c>
      <c r="N146" s="199">
        <f t="shared" si="84"/>
        <v>15.00837445622239</v>
      </c>
      <c r="O146" s="65">
        <f t="shared" si="83"/>
        <v>2.3443981070356674</v>
      </c>
      <c r="P146" s="2">
        <f>F146*2</f>
        <v>681356</v>
      </c>
      <c r="Q146" s="2">
        <f>G146/0.85</f>
        <v>12569.411764705883</v>
      </c>
      <c r="R146" s="2">
        <f>H146/0.45</f>
        <v>59300</v>
      </c>
      <c r="S146" s="2">
        <f>I146/0.4</f>
        <v>166895</v>
      </c>
      <c r="T146" s="5">
        <f>SUM(P146:S146)</f>
        <v>920120.4117647059</v>
      </c>
      <c r="U146" s="29"/>
      <c r="V146" s="23">
        <f>T146-W146</f>
        <v>899264.4117647059</v>
      </c>
      <c r="W146" s="18">
        <f>E146*2</f>
        <v>20856</v>
      </c>
      <c r="X146" s="47"/>
      <c r="Y146" s="34"/>
      <c r="Z146" s="34"/>
      <c r="AA146" s="34"/>
      <c r="AB146" s="45"/>
    </row>
    <row r="147" spans="1:28">
      <c r="A147" s="42" t="s">
        <v>10</v>
      </c>
      <c r="B147" s="198">
        <v>2018</v>
      </c>
      <c r="C147" s="5">
        <f>F147+G147+H147+I147</f>
        <v>715358</v>
      </c>
      <c r="D147" s="23">
        <f t="shared" si="80"/>
        <v>712733</v>
      </c>
      <c r="E147" s="18">
        <v>2625</v>
      </c>
      <c r="F147" s="2">
        <v>586201</v>
      </c>
      <c r="G147" s="2">
        <v>21958</v>
      </c>
      <c r="H147" s="2">
        <v>49709</v>
      </c>
      <c r="I147" s="75">
        <v>57490</v>
      </c>
      <c r="J147" s="185">
        <f>F147/Gesamt*100</f>
        <v>81.945123979881402</v>
      </c>
      <c r="K147" s="199">
        <f t="shared" si="85"/>
        <v>3.0695120485127725</v>
      </c>
      <c r="L147" s="76">
        <f t="shared" si="82"/>
        <v>85.014636028394179</v>
      </c>
      <c r="M147" s="199">
        <f t="shared" si="84"/>
        <v>6.9488284187777305</v>
      </c>
      <c r="N147" s="199">
        <f t="shared" si="84"/>
        <v>8.0365355528280951</v>
      </c>
      <c r="O147" s="65">
        <f t="shared" si="83"/>
        <v>0.36694913595710116</v>
      </c>
      <c r="P147" s="2">
        <f>F147*2</f>
        <v>1172402</v>
      </c>
      <c r="Q147" s="2">
        <f>G147/0.85</f>
        <v>25832.941176470587</v>
      </c>
      <c r="R147" s="2">
        <f>H147/0.45</f>
        <v>110464.44444444444</v>
      </c>
      <c r="S147" s="2">
        <f>I147/0.4</f>
        <v>143725</v>
      </c>
      <c r="T147" s="5">
        <f>SUM(P147:S147)</f>
        <v>1452424.3856209151</v>
      </c>
      <c r="U147" s="29"/>
      <c r="V147" s="23">
        <f>T147-W147</f>
        <v>1447174.3856209151</v>
      </c>
      <c r="W147" s="18">
        <f>E147*2</f>
        <v>5250</v>
      </c>
      <c r="X147" s="47"/>
      <c r="Y147" s="34"/>
      <c r="Z147" s="34"/>
      <c r="AA147" s="34"/>
      <c r="AB147" s="45"/>
    </row>
    <row r="148" spans="1:28">
      <c r="A148" s="257" t="s">
        <v>11</v>
      </c>
      <c r="B148" s="198">
        <v>2018</v>
      </c>
      <c r="C148" s="5">
        <f>F148+G148+H148+I148</f>
        <v>1449173</v>
      </c>
      <c r="D148" s="23">
        <f t="shared" si="80"/>
        <v>1420692</v>
      </c>
      <c r="E148" s="244">
        <v>28481</v>
      </c>
      <c r="F148" s="245">
        <v>1210477</v>
      </c>
      <c r="G148" s="245">
        <v>44590</v>
      </c>
      <c r="H148" s="245">
        <v>82677</v>
      </c>
      <c r="I148" s="246">
        <v>111429</v>
      </c>
      <c r="J148" s="185">
        <f>F148/Gesamt*100</f>
        <v>83.528812640036762</v>
      </c>
      <c r="K148" s="199">
        <f t="shared" si="85"/>
        <v>3.0769273233768502</v>
      </c>
      <c r="L148" s="76">
        <f t="shared" si="82"/>
        <v>86.605739963413612</v>
      </c>
      <c r="M148" s="199">
        <f t="shared" ref="M148:N155" si="86">H148/Gesamt*100</f>
        <v>5.7051159523397139</v>
      </c>
      <c r="N148" s="199">
        <f t="shared" si="86"/>
        <v>7.6891440842466698</v>
      </c>
      <c r="O148" s="65">
        <f t="shared" si="83"/>
        <v>1.9653278111032981</v>
      </c>
      <c r="P148" s="2">
        <f>F148*2</f>
        <v>2420954</v>
      </c>
      <c r="Q148" s="2">
        <f>G148/0.85</f>
        <v>52458.823529411769</v>
      </c>
      <c r="R148" s="2">
        <f>H148/0.45</f>
        <v>183726.66666666666</v>
      </c>
      <c r="S148" s="2">
        <f>I148/0.4</f>
        <v>278572.5</v>
      </c>
      <c r="T148" s="5">
        <f>SUM(P148:S148)</f>
        <v>2935711.9901960781</v>
      </c>
      <c r="U148" s="29"/>
      <c r="V148" s="23">
        <f>T148-W148</f>
        <v>2878749.9901960781</v>
      </c>
      <c r="W148" s="18">
        <f>E148*2</f>
        <v>56962</v>
      </c>
      <c r="X148" s="47"/>
      <c r="Y148" s="34"/>
      <c r="Z148" s="34"/>
      <c r="AA148" s="34"/>
      <c r="AB148" s="45"/>
    </row>
    <row r="149" spans="1:28" ht="12.9" thickBot="1">
      <c r="A149" s="257" t="s">
        <v>12</v>
      </c>
      <c r="B149" s="198">
        <v>2018</v>
      </c>
      <c r="C149" s="5">
        <f>F149+G149+H149+I149</f>
        <v>407087</v>
      </c>
      <c r="D149" s="23">
        <f t="shared" si="80"/>
        <v>388392</v>
      </c>
      <c r="E149" s="254">
        <v>18695</v>
      </c>
      <c r="F149" s="255">
        <v>236083</v>
      </c>
      <c r="G149" s="256">
        <v>7381</v>
      </c>
      <c r="H149" s="256">
        <v>17899</v>
      </c>
      <c r="I149" s="263">
        <v>145724</v>
      </c>
      <c r="J149" s="211">
        <f>F149/Gesamt*100</f>
        <v>57.993254513163038</v>
      </c>
      <c r="K149" s="199">
        <f t="shared" si="85"/>
        <v>1.8131259411378893</v>
      </c>
      <c r="L149" s="76">
        <f t="shared" si="82"/>
        <v>59.806380454300928</v>
      </c>
      <c r="M149" s="199">
        <f t="shared" si="86"/>
        <v>4.3968488308395992</v>
      </c>
      <c r="N149" s="199">
        <f t="shared" si="86"/>
        <v>35.796770714859477</v>
      </c>
      <c r="O149" s="217">
        <f t="shared" si="83"/>
        <v>4.5923844288812958</v>
      </c>
      <c r="P149" s="218">
        <f>F149*2</f>
        <v>472166</v>
      </c>
      <c r="Q149" s="2">
        <f>G149/0.85</f>
        <v>8683.5294117647063</v>
      </c>
      <c r="R149" s="2">
        <f>H149/0.45</f>
        <v>39775.555555555555</v>
      </c>
      <c r="S149" s="216">
        <f>I149/0.4</f>
        <v>364310</v>
      </c>
      <c r="T149" s="29">
        <f>SUM(P149:S149)</f>
        <v>884935.08496732032</v>
      </c>
      <c r="U149" s="29"/>
      <c r="V149" s="23">
        <f>T149-W149</f>
        <v>847545.08496732032</v>
      </c>
      <c r="W149" s="18">
        <f>E149*2</f>
        <v>37390</v>
      </c>
      <c r="X149" s="47"/>
      <c r="Y149" s="34"/>
      <c r="Z149" s="34"/>
      <c r="AA149" s="34"/>
      <c r="AB149" s="45"/>
    </row>
    <row r="150" spans="1:28" s="62" customFormat="1" ht="15.6" thickTop="1" thickBot="1">
      <c r="A150" s="69" t="s">
        <v>21</v>
      </c>
      <c r="B150" s="224">
        <v>2018</v>
      </c>
      <c r="C150" s="223">
        <f>SUM(C146:C149)</f>
        <v>3016423</v>
      </c>
      <c r="D150" s="55">
        <f t="shared" si="80"/>
        <v>2956194</v>
      </c>
      <c r="E150" s="213">
        <f>SUM(E146:E149)</f>
        <v>60229</v>
      </c>
      <c r="F150" s="214">
        <f>SUM(F146:F149)</f>
        <v>2373439</v>
      </c>
      <c r="G150" s="201">
        <f>SUM(G146:G149)</f>
        <v>84613</v>
      </c>
      <c r="H150" s="53">
        <f>SUM(H146:H149)</f>
        <v>176970</v>
      </c>
      <c r="I150" s="53">
        <f>SUM(I146:I149)</f>
        <v>381401</v>
      </c>
      <c r="J150" s="212">
        <f>F150/C150*100</f>
        <v>78.683891483389431</v>
      </c>
      <c r="K150" s="202">
        <f t="shared" si="85"/>
        <v>2.8050774045947797</v>
      </c>
      <c r="L150" s="56">
        <f t="shared" si="82"/>
        <v>81.488968887984214</v>
      </c>
      <c r="M150" s="56">
        <f t="shared" si="86"/>
        <v>5.8668827283176137</v>
      </c>
      <c r="N150" s="202">
        <f t="shared" si="86"/>
        <v>12.644148383698175</v>
      </c>
      <c r="O150" s="219">
        <f t="shared" si="83"/>
        <v>1.9967027170923972</v>
      </c>
      <c r="P150" s="214">
        <f>SUM(P146:P149)</f>
        <v>4746878</v>
      </c>
      <c r="Q150" s="201">
        <f>SUM(Q146:Q149)</f>
        <v>99544.705882352951</v>
      </c>
      <c r="R150" s="53">
        <f>SUM(R146:R149)</f>
        <v>393266.66666666669</v>
      </c>
      <c r="S150" s="53">
        <f>SUM(S146:S149)</f>
        <v>953502.5</v>
      </c>
      <c r="T150" s="215">
        <f>SUM(T146:T149)</f>
        <v>6193191.8725490198</v>
      </c>
      <c r="U150" s="57">
        <f>T150/T135*100</f>
        <v>114.95767714937377</v>
      </c>
      <c r="V150" s="55">
        <f>SUM(V146:V149)</f>
        <v>6072733.8725490198</v>
      </c>
      <c r="W150" s="200">
        <f>SUM(W146:W149)</f>
        <v>120458</v>
      </c>
      <c r="X150" s="59">
        <f>P150/T150*100</f>
        <v>76.646712998514928</v>
      </c>
      <c r="Y150" s="60">
        <f>Q150/T150*100</f>
        <v>1.6073247516128049</v>
      </c>
      <c r="Z150" s="60">
        <f>R150/T150*100</f>
        <v>6.3499835748638667</v>
      </c>
      <c r="AA150" s="60">
        <f>S150/T150*100</f>
        <v>15.395978675008394</v>
      </c>
      <c r="AB150" s="61">
        <f>W150/T150*100</f>
        <v>1.9450067506211688</v>
      </c>
    </row>
    <row r="151" spans="1:28" ht="12.6" thickTop="1">
      <c r="A151" s="42" t="s">
        <v>9</v>
      </c>
      <c r="B151" s="198">
        <v>2019</v>
      </c>
      <c r="C151" s="5">
        <f>F151+G151+H151+I151</f>
        <v>438350</v>
      </c>
      <c r="D151" s="23">
        <f t="shared" ref="D151:D160" si="87">C151-E151</f>
        <v>432713</v>
      </c>
      <c r="E151" s="18">
        <v>5637</v>
      </c>
      <c r="F151" s="2">
        <v>346221</v>
      </c>
      <c r="G151" s="2">
        <v>11177</v>
      </c>
      <c r="H151" s="2">
        <v>31695</v>
      </c>
      <c r="I151" s="75">
        <v>49257</v>
      </c>
      <c r="J151" s="185">
        <f>F151/Gesamt*100</f>
        <v>78.982776320292004</v>
      </c>
      <c r="K151" s="199">
        <f t="shared" si="85"/>
        <v>2.5497889814075512</v>
      </c>
      <c r="L151" s="76">
        <f t="shared" ref="L151:L160" si="88">SUM(J151:K151)</f>
        <v>81.532565301699549</v>
      </c>
      <c r="M151" s="199">
        <f t="shared" si="86"/>
        <v>7.2305235542374824</v>
      </c>
      <c r="N151" s="199">
        <f t="shared" si="86"/>
        <v>11.236911144062963</v>
      </c>
      <c r="O151" s="65">
        <f t="shared" ref="O151:O160" si="89">E151/Gesamt*100</f>
        <v>1.2859587087943425</v>
      </c>
      <c r="P151" s="2">
        <f>F151*2</f>
        <v>692442</v>
      </c>
      <c r="Q151" s="2">
        <f>G151/0.85</f>
        <v>13149.411764705883</v>
      </c>
      <c r="R151" s="2">
        <f>H151/0.45</f>
        <v>70433.333333333328</v>
      </c>
      <c r="S151" s="2">
        <f>I151/0.4</f>
        <v>123142.5</v>
      </c>
      <c r="T151" s="5">
        <f>SUM(P151:S151)</f>
        <v>899167.24509803928</v>
      </c>
      <c r="U151" s="29"/>
      <c r="V151" s="23">
        <f>T151-W151</f>
        <v>887893.24509803928</v>
      </c>
      <c r="W151" s="18">
        <f>E151*2</f>
        <v>11274</v>
      </c>
      <c r="X151" s="47"/>
      <c r="Y151" s="34"/>
      <c r="Z151" s="34"/>
      <c r="AA151" s="34"/>
      <c r="AB151" s="45"/>
    </row>
    <row r="152" spans="1:28">
      <c r="A152" s="42" t="s">
        <v>10</v>
      </c>
      <c r="B152" s="198">
        <v>2019</v>
      </c>
      <c r="C152" s="5">
        <f>F152+G152+H152+I152</f>
        <v>571802</v>
      </c>
      <c r="D152" s="23">
        <f t="shared" si="87"/>
        <v>570370</v>
      </c>
      <c r="E152" s="18">
        <v>1432</v>
      </c>
      <c r="F152" s="2">
        <v>450996</v>
      </c>
      <c r="G152" s="2">
        <v>19152</v>
      </c>
      <c r="H152" s="2">
        <v>58826</v>
      </c>
      <c r="I152" s="75">
        <v>42828</v>
      </c>
      <c r="J152" s="185">
        <f>F152/Gesamt*100</f>
        <v>78.87275665352692</v>
      </c>
      <c r="K152" s="199">
        <f t="shared" si="85"/>
        <v>3.3494111598070662</v>
      </c>
      <c r="L152" s="76">
        <f t="shared" si="88"/>
        <v>82.222167813333982</v>
      </c>
      <c r="M152" s="199">
        <f t="shared" si="86"/>
        <v>10.287826905117505</v>
      </c>
      <c r="N152" s="199">
        <f t="shared" si="86"/>
        <v>7.4900052815485081</v>
      </c>
      <c r="O152" s="65">
        <f t="shared" si="89"/>
        <v>0.25043633985190678</v>
      </c>
      <c r="P152" s="2">
        <f>F152*2</f>
        <v>901992</v>
      </c>
      <c r="Q152" s="2">
        <f>G152/0.85</f>
        <v>22531.764705882353</v>
      </c>
      <c r="R152" s="2">
        <f>H152/0.45</f>
        <v>130724.44444444444</v>
      </c>
      <c r="S152" s="2">
        <f>I152/0.4</f>
        <v>107070</v>
      </c>
      <c r="T152" s="5">
        <f>SUM(P152:S152)</f>
        <v>1162318.2091503269</v>
      </c>
      <c r="U152" s="29"/>
      <c r="V152" s="23">
        <f>T152-W152</f>
        <v>1159454.2091503269</v>
      </c>
      <c r="W152" s="18">
        <f>E152*2</f>
        <v>2864</v>
      </c>
      <c r="X152" s="47"/>
      <c r="Y152" s="34"/>
      <c r="Z152" s="34"/>
      <c r="AA152" s="34"/>
      <c r="AB152" s="45"/>
    </row>
    <row r="153" spans="1:28">
      <c r="A153" s="257" t="s">
        <v>11</v>
      </c>
      <c r="B153" s="198">
        <v>2019</v>
      </c>
      <c r="C153" s="5">
        <f>F153+G153+H153+I153</f>
        <v>1275240</v>
      </c>
      <c r="D153" s="23">
        <f t="shared" si="87"/>
        <v>1256168</v>
      </c>
      <c r="E153" s="244">
        <v>19072</v>
      </c>
      <c r="F153" s="245">
        <v>1048598</v>
      </c>
      <c r="G153" s="245">
        <v>37845</v>
      </c>
      <c r="H153" s="245">
        <v>83301</v>
      </c>
      <c r="I153" s="246">
        <v>105496</v>
      </c>
      <c r="J153" s="185">
        <f>F153/Gesamt*100</f>
        <v>82.227502274081743</v>
      </c>
      <c r="K153" s="199">
        <f t="shared" si="85"/>
        <v>2.9676766726263293</v>
      </c>
      <c r="L153" s="76">
        <f t="shared" si="88"/>
        <v>85.195178946708069</v>
      </c>
      <c r="M153" s="199">
        <f t="shared" si="86"/>
        <v>6.5321821774724755</v>
      </c>
      <c r="N153" s="199">
        <f t="shared" si="86"/>
        <v>8.2726388758194531</v>
      </c>
      <c r="O153" s="65">
        <f t="shared" si="89"/>
        <v>1.4955616197735329</v>
      </c>
      <c r="P153" s="2">
        <f>F153*2</f>
        <v>2097196</v>
      </c>
      <c r="Q153" s="2">
        <f>G153/0.85</f>
        <v>44523.529411764706</v>
      </c>
      <c r="R153" s="2">
        <f>H153/0.45</f>
        <v>185113.33333333334</v>
      </c>
      <c r="S153" s="2">
        <f>I153/0.4</f>
        <v>263740</v>
      </c>
      <c r="T153" s="5">
        <f>SUM(P153:S153)</f>
        <v>2590572.8627450983</v>
      </c>
      <c r="U153" s="29"/>
      <c r="V153" s="23">
        <f>T153-W153</f>
        <v>2552428.8627450983</v>
      </c>
      <c r="W153" s="18">
        <f>E153*2</f>
        <v>38144</v>
      </c>
      <c r="X153" s="47"/>
      <c r="Y153" s="34"/>
      <c r="Z153" s="34"/>
      <c r="AA153" s="34"/>
      <c r="AB153" s="45"/>
    </row>
    <row r="154" spans="1:28" ht="12.9" thickBot="1">
      <c r="A154" s="257" t="s">
        <v>12</v>
      </c>
      <c r="B154" s="198">
        <v>2019</v>
      </c>
      <c r="C154" s="5">
        <f>F154+G154+H154+I154</f>
        <v>314670</v>
      </c>
      <c r="D154" s="23">
        <f t="shared" si="87"/>
        <v>304190</v>
      </c>
      <c r="E154" s="254">
        <v>10480</v>
      </c>
      <c r="F154" s="255">
        <v>157490</v>
      </c>
      <c r="G154" s="256">
        <v>7677</v>
      </c>
      <c r="H154" s="256">
        <v>10638</v>
      </c>
      <c r="I154" s="263">
        <v>138865</v>
      </c>
      <c r="J154" s="211">
        <f>F154/Gesamt*100</f>
        <v>50.049257952775925</v>
      </c>
      <c r="K154" s="199">
        <f t="shared" si="85"/>
        <v>2.4396987320049575</v>
      </c>
      <c r="L154" s="76">
        <f t="shared" si="88"/>
        <v>52.488956684780881</v>
      </c>
      <c r="M154" s="199">
        <f t="shared" si="86"/>
        <v>3.3806845266469634</v>
      </c>
      <c r="N154" s="199">
        <f t="shared" si="86"/>
        <v>44.130358788572153</v>
      </c>
      <c r="O154" s="217">
        <f t="shared" si="89"/>
        <v>3.3304731941398926</v>
      </c>
      <c r="P154" s="218">
        <f>F154*2</f>
        <v>314980</v>
      </c>
      <c r="Q154" s="2">
        <f>G154/0.85</f>
        <v>9031.7647058823532</v>
      </c>
      <c r="R154" s="2">
        <f>H154/0.45</f>
        <v>23640</v>
      </c>
      <c r="S154" s="216">
        <f>I154/0.4</f>
        <v>347162.5</v>
      </c>
      <c r="T154" s="29">
        <f>SUM(P154:S154)</f>
        <v>694814.26470588241</v>
      </c>
      <c r="U154" s="29"/>
      <c r="V154" s="23">
        <f>T154-W154</f>
        <v>673854.26470588241</v>
      </c>
      <c r="W154" s="18">
        <f>E154*2</f>
        <v>20960</v>
      </c>
      <c r="X154" s="47"/>
      <c r="Y154" s="34"/>
      <c r="Z154" s="34"/>
      <c r="AA154" s="34"/>
      <c r="AB154" s="45"/>
    </row>
    <row r="155" spans="1:28" s="62" customFormat="1" ht="15.6" thickTop="1" thickBot="1">
      <c r="A155" s="69" t="s">
        <v>21</v>
      </c>
      <c r="B155" s="224">
        <v>2019</v>
      </c>
      <c r="C155" s="223">
        <f>SUM(C151:C154)</f>
        <v>2600062</v>
      </c>
      <c r="D155" s="55">
        <f t="shared" si="87"/>
        <v>2563441</v>
      </c>
      <c r="E155" s="285">
        <f>SUM(E151:E154)</f>
        <v>36621</v>
      </c>
      <c r="F155" s="286">
        <f>SUM(F151:F154)</f>
        <v>2003305</v>
      </c>
      <c r="G155" s="287">
        <f>SUM(G151:G154)</f>
        <v>75851</v>
      </c>
      <c r="H155" s="288">
        <f>SUM(H151:H154)</f>
        <v>184460</v>
      </c>
      <c r="I155" s="288">
        <f>SUM(I151:I154)</f>
        <v>336446</v>
      </c>
      <c r="J155" s="212">
        <f>F155/C155*100</f>
        <v>77.048355000765369</v>
      </c>
      <c r="K155" s="202">
        <f t="shared" si="85"/>
        <v>2.9172765880198241</v>
      </c>
      <c r="L155" s="56">
        <f t="shared" si="88"/>
        <v>79.965631588785186</v>
      </c>
      <c r="M155" s="56">
        <f t="shared" si="86"/>
        <v>7.0944462093596226</v>
      </c>
      <c r="N155" s="202">
        <f t="shared" si="86"/>
        <v>12.939922201855186</v>
      </c>
      <c r="O155" s="219">
        <f t="shared" si="89"/>
        <v>1.4084664134932166</v>
      </c>
      <c r="P155" s="214">
        <f>SUM(P151:P154)</f>
        <v>4006610</v>
      </c>
      <c r="Q155" s="201">
        <f>SUM(Q151:Q154)</f>
        <v>89236.470588235301</v>
      </c>
      <c r="R155" s="53">
        <f>SUM(R151:R154)</f>
        <v>409911.11111111112</v>
      </c>
      <c r="S155" s="53">
        <f>SUM(S151:S154)</f>
        <v>841115</v>
      </c>
      <c r="T155" s="215">
        <f>SUM(T151:T154)</f>
        <v>5346872.5816993471</v>
      </c>
      <c r="U155" s="57">
        <f>T155/T140*100</f>
        <v>106.4028174642162</v>
      </c>
      <c r="V155" s="55">
        <f>SUM(V151:V154)</f>
        <v>5273630.5816993471</v>
      </c>
      <c r="W155" s="200">
        <f>SUM(W151:W154)</f>
        <v>73242</v>
      </c>
      <c r="X155" s="59">
        <f>P155/T155*100</f>
        <v>74.933710103984126</v>
      </c>
      <c r="Y155" s="60">
        <f>Q155/T155*100</f>
        <v>1.6689470194906737</v>
      </c>
      <c r="Z155" s="60">
        <f>R155/T155*100</f>
        <v>7.6663714133399621</v>
      </c>
      <c r="AA155" s="60">
        <f>S155/T155*100</f>
        <v>15.730971463185236</v>
      </c>
      <c r="AB155" s="61">
        <f>W155/T155*100</f>
        <v>1.3698100876890951</v>
      </c>
    </row>
    <row r="156" spans="1:28" ht="12.6" thickTop="1">
      <c r="A156" s="42" t="s">
        <v>9</v>
      </c>
      <c r="B156" s="198">
        <v>2020</v>
      </c>
      <c r="C156" s="5">
        <f>F156+G156+H156+I156</f>
        <v>424611</v>
      </c>
      <c r="D156" s="34">
        <f t="shared" si="87"/>
        <v>419749</v>
      </c>
      <c r="E156" s="293">
        <v>4862</v>
      </c>
      <c r="F156" s="294">
        <v>337870</v>
      </c>
      <c r="G156" s="294">
        <v>12308</v>
      </c>
      <c r="H156" s="294">
        <v>20763</v>
      </c>
      <c r="I156" s="294">
        <v>53670</v>
      </c>
      <c r="J156" s="185">
        <f>F156/Gesamt*100</f>
        <v>79.571654997162113</v>
      </c>
      <c r="K156" s="199">
        <f t="shared" ref="K156:K160" si="90">G156/Gesamt*100</f>
        <v>2.8986531201499726</v>
      </c>
      <c r="L156" s="76">
        <f t="shared" si="88"/>
        <v>82.470308117312086</v>
      </c>
      <c r="M156" s="199">
        <f t="shared" ref="M156:M160" si="91">H156/Gesamt*100</f>
        <v>4.8898874499247551</v>
      </c>
      <c r="N156" s="199">
        <f t="shared" ref="N156:N160" si="92">I156/Gesamt*100</f>
        <v>12.639804432763164</v>
      </c>
      <c r="O156" s="65">
        <f t="shared" si="89"/>
        <v>1.145048055749851</v>
      </c>
      <c r="P156" s="2">
        <f>F156*2</f>
        <v>675740</v>
      </c>
      <c r="Q156" s="2">
        <f>G156/0.85</f>
        <v>14480</v>
      </c>
      <c r="R156" s="2">
        <f>H156/0.45</f>
        <v>46140</v>
      </c>
      <c r="S156" s="2">
        <f>I156/0.4</f>
        <v>134175</v>
      </c>
      <c r="T156" s="5">
        <f>SUM(P156:S156)</f>
        <v>870535</v>
      </c>
      <c r="U156" s="29"/>
      <c r="V156" s="23">
        <f>T156-W156</f>
        <v>860811</v>
      </c>
      <c r="W156" s="18">
        <f>E156*2</f>
        <v>9724</v>
      </c>
      <c r="X156" s="47"/>
      <c r="Y156" s="34"/>
      <c r="Z156" s="34"/>
      <c r="AA156" s="34"/>
      <c r="AB156" s="45"/>
    </row>
    <row r="157" spans="1:28">
      <c r="A157" s="42" t="s">
        <v>10</v>
      </c>
      <c r="B157" s="198">
        <v>2020</v>
      </c>
      <c r="C157" s="5">
        <f>F157+G157+H157+I157</f>
        <v>697152</v>
      </c>
      <c r="D157" s="34">
        <f t="shared" si="87"/>
        <v>694215</v>
      </c>
      <c r="E157" s="293">
        <v>2937</v>
      </c>
      <c r="F157" s="294">
        <v>553091</v>
      </c>
      <c r="G157" s="294">
        <v>16625</v>
      </c>
      <c r="H157" s="294">
        <v>71157</v>
      </c>
      <c r="I157" s="294">
        <v>56279</v>
      </c>
      <c r="J157" s="185">
        <f>F157/Gesamt*100</f>
        <v>79.335783301202611</v>
      </c>
      <c r="K157" s="199">
        <f t="shared" si="90"/>
        <v>2.3847023317726981</v>
      </c>
      <c r="L157" s="76">
        <f t="shared" si="88"/>
        <v>81.720485632975311</v>
      </c>
      <c r="M157" s="199">
        <f t="shared" si="91"/>
        <v>10.20681286147067</v>
      </c>
      <c r="N157" s="199">
        <f t="shared" si="92"/>
        <v>8.0727015055540257</v>
      </c>
      <c r="O157" s="65">
        <f t="shared" si="89"/>
        <v>0.42128545855136323</v>
      </c>
      <c r="P157" s="2">
        <f>F157*2</f>
        <v>1106182</v>
      </c>
      <c r="Q157" s="2">
        <f>G157/0.85</f>
        <v>19558.823529411766</v>
      </c>
      <c r="R157" s="2">
        <f>H157/0.45</f>
        <v>158126.66666666666</v>
      </c>
      <c r="S157" s="2">
        <f>I157/0.4</f>
        <v>140697.5</v>
      </c>
      <c r="T157" s="5">
        <f>SUM(P157:S157)</f>
        <v>1424564.9901960786</v>
      </c>
      <c r="U157" s="29"/>
      <c r="V157" s="23">
        <f>T157-W157</f>
        <v>1418690.9901960786</v>
      </c>
      <c r="W157" s="18">
        <f>E157*2</f>
        <v>5874</v>
      </c>
      <c r="X157" s="47"/>
      <c r="Y157" s="34"/>
      <c r="Z157" s="34"/>
      <c r="AA157" s="34"/>
      <c r="AB157" s="45"/>
    </row>
    <row r="158" spans="1:28">
      <c r="A158" s="257" t="s">
        <v>11</v>
      </c>
      <c r="B158" s="198">
        <v>2020</v>
      </c>
      <c r="C158" s="5">
        <f>F158+G158+H158+I158</f>
        <v>1266822</v>
      </c>
      <c r="D158" s="34">
        <f t="shared" si="87"/>
        <v>1235909</v>
      </c>
      <c r="E158" s="295">
        <v>30913</v>
      </c>
      <c r="F158" s="296">
        <v>1076671</v>
      </c>
      <c r="G158" s="296">
        <v>37939</v>
      </c>
      <c r="H158" s="296">
        <v>50676</v>
      </c>
      <c r="I158" s="296">
        <v>101536</v>
      </c>
      <c r="J158" s="185">
        <f>F158/Gesamt*100</f>
        <v>84.98991965722098</v>
      </c>
      <c r="K158" s="199">
        <f t="shared" si="90"/>
        <v>2.9948169513949079</v>
      </c>
      <c r="L158" s="76">
        <f t="shared" si="88"/>
        <v>87.98473660861589</v>
      </c>
      <c r="M158" s="199">
        <f t="shared" si="91"/>
        <v>4.0002462855870835</v>
      </c>
      <c r="N158" s="199">
        <f t="shared" si="92"/>
        <v>8.0150171057970265</v>
      </c>
      <c r="O158" s="65">
        <f t="shared" si="89"/>
        <v>2.4402007543285484</v>
      </c>
      <c r="P158" s="2">
        <f>F158*2</f>
        <v>2153342</v>
      </c>
      <c r="Q158" s="2">
        <f>G158/0.85</f>
        <v>44634.117647058825</v>
      </c>
      <c r="R158" s="2">
        <f>H158/0.45</f>
        <v>112613.33333333333</v>
      </c>
      <c r="S158" s="2">
        <f>I158/0.4</f>
        <v>253840</v>
      </c>
      <c r="T158" s="5">
        <f>SUM(P158:S158)</f>
        <v>2564429.4509803923</v>
      </c>
      <c r="U158" s="29"/>
      <c r="V158" s="23">
        <f>T158-W158</f>
        <v>2502603.4509803923</v>
      </c>
      <c r="W158" s="18">
        <f>E158*2</f>
        <v>61826</v>
      </c>
      <c r="X158" s="47"/>
      <c r="Y158" s="34"/>
      <c r="Z158" s="34"/>
      <c r="AA158" s="34"/>
      <c r="AB158" s="45"/>
    </row>
    <row r="159" spans="1:28" ht="12.9" thickBot="1">
      <c r="A159" s="257" t="s">
        <v>12</v>
      </c>
      <c r="B159" s="198">
        <v>2020</v>
      </c>
      <c r="C159" s="5">
        <f>F159+G159+H159+I159</f>
        <v>405284</v>
      </c>
      <c r="D159" s="34">
        <f t="shared" si="87"/>
        <v>399711</v>
      </c>
      <c r="E159" s="297">
        <v>5573</v>
      </c>
      <c r="F159" s="298">
        <v>244891</v>
      </c>
      <c r="G159" s="298">
        <v>5655</v>
      </c>
      <c r="H159" s="298">
        <v>14297</v>
      </c>
      <c r="I159" s="299">
        <v>140441</v>
      </c>
      <c r="J159" s="284">
        <f>F159/Gesamt*100</f>
        <v>60.4245418027852</v>
      </c>
      <c r="K159" s="199">
        <f t="shared" si="90"/>
        <v>1.3953178511858351</v>
      </c>
      <c r="L159" s="76">
        <f t="shared" si="88"/>
        <v>61.819859653971037</v>
      </c>
      <c r="M159" s="199">
        <f t="shared" si="91"/>
        <v>3.5276497468441881</v>
      </c>
      <c r="N159" s="199">
        <f t="shared" si="92"/>
        <v>34.652490599184773</v>
      </c>
      <c r="O159" s="217">
        <f t="shared" si="89"/>
        <v>1.3750851254922474</v>
      </c>
      <c r="P159" s="218">
        <f>F159*2</f>
        <v>489782</v>
      </c>
      <c r="Q159" s="2">
        <f>G159/0.85</f>
        <v>6652.9411764705883</v>
      </c>
      <c r="R159" s="2">
        <f>H159/0.45</f>
        <v>31771.111111111109</v>
      </c>
      <c r="S159" s="216">
        <f>I159/0.4</f>
        <v>351102.5</v>
      </c>
      <c r="T159" s="29">
        <f>SUM(P159:S159)</f>
        <v>879308.55228758173</v>
      </c>
      <c r="U159" s="29"/>
      <c r="V159" s="23">
        <f>T159-W159</f>
        <v>868162.55228758173</v>
      </c>
      <c r="W159" s="18">
        <f>E159*2</f>
        <v>11146</v>
      </c>
      <c r="X159" s="47"/>
      <c r="Y159" s="34"/>
      <c r="Z159" s="34"/>
      <c r="AA159" s="34"/>
      <c r="AB159" s="45"/>
    </row>
    <row r="160" spans="1:28" s="62" customFormat="1" ht="15.6" thickTop="1" thickBot="1">
      <c r="A160" s="69" t="s">
        <v>21</v>
      </c>
      <c r="B160" s="224">
        <v>2020</v>
      </c>
      <c r="C160" s="223">
        <f>SUM(C156:C159)</f>
        <v>2793869</v>
      </c>
      <c r="D160" s="55">
        <f t="shared" si="87"/>
        <v>2749584</v>
      </c>
      <c r="E160" s="289">
        <f>SUM(E156:E159)</f>
        <v>44285</v>
      </c>
      <c r="F160" s="290">
        <f>SUM(F156:F159)</f>
        <v>2212523</v>
      </c>
      <c r="G160" s="291">
        <f>SUM(G156:G159)</f>
        <v>72527</v>
      </c>
      <c r="H160" s="292">
        <f>SUM(H156:H159)</f>
        <v>156893</v>
      </c>
      <c r="I160" s="292">
        <f>SUM(I156:I159)</f>
        <v>351926</v>
      </c>
      <c r="J160" s="212">
        <f>F160/C160*100</f>
        <v>79.192080945813842</v>
      </c>
      <c r="K160" s="202">
        <f t="shared" si="90"/>
        <v>2.5959341687101292</v>
      </c>
      <c r="L160" s="56">
        <f t="shared" si="88"/>
        <v>81.788015114523972</v>
      </c>
      <c r="M160" s="56">
        <f t="shared" si="91"/>
        <v>5.6156176255937558</v>
      </c>
      <c r="N160" s="202">
        <f t="shared" si="92"/>
        <v>12.596367259882262</v>
      </c>
      <c r="O160" s="219">
        <f t="shared" si="89"/>
        <v>1.585077897353097</v>
      </c>
      <c r="P160" s="214">
        <f>SUM(P156:P159)</f>
        <v>4425046</v>
      </c>
      <c r="Q160" s="201">
        <f>SUM(Q156:Q159)</f>
        <v>85325.882352941175</v>
      </c>
      <c r="R160" s="53">
        <f>SUM(R156:R159)</f>
        <v>348651.11111111112</v>
      </c>
      <c r="S160" s="53">
        <f>SUM(S156:S159)</f>
        <v>879815</v>
      </c>
      <c r="T160" s="215">
        <f>SUM(T156:T159)</f>
        <v>5738837.9934640517</v>
      </c>
      <c r="U160" s="57">
        <f>T160/T145*100</f>
        <v>101.62832009872234</v>
      </c>
      <c r="V160" s="55">
        <f>SUM(V156:V159)</f>
        <v>5650267.9934640517</v>
      </c>
      <c r="W160" s="200">
        <f>SUM(W156:W159)</f>
        <v>88570</v>
      </c>
      <c r="X160" s="59">
        <f>P160/T160*100</f>
        <v>77.107003282540362</v>
      </c>
      <c r="Y160" s="60">
        <f>Q160/T160*100</f>
        <v>1.4868146208364585</v>
      </c>
      <c r="Z160" s="60">
        <f>R160/T160*100</f>
        <v>6.0752910520943271</v>
      </c>
      <c r="AA160" s="60">
        <f>S160/T160*100</f>
        <v>15.33089104452886</v>
      </c>
      <c r="AB160" s="61">
        <f>W160/T160*100</f>
        <v>1.543343793654258</v>
      </c>
    </row>
    <row r="161" spans="1:19" ht="12.6" thickTop="1">
      <c r="E161" s="260"/>
      <c r="F161" s="260"/>
      <c r="G161" s="260"/>
      <c r="H161" s="260"/>
      <c r="I161" s="260"/>
      <c r="M161" s="185"/>
    </row>
    <row r="163" spans="1:19" ht="15">
      <c r="A163" s="184" t="s">
        <v>27</v>
      </c>
      <c r="B163" s="51">
        <v>2003</v>
      </c>
      <c r="C163" s="3">
        <f>SUM(C71:C72)</f>
        <v>692880</v>
      </c>
      <c r="D163" s="3">
        <f t="shared" ref="D163:I163" si="93">SUM(D71:D72)</f>
        <v>647846</v>
      </c>
      <c r="E163" s="3">
        <f t="shared" si="93"/>
        <v>45034</v>
      </c>
      <c r="F163" s="3">
        <f t="shared" si="93"/>
        <v>504009</v>
      </c>
      <c r="G163" s="3">
        <f t="shared" si="93"/>
        <v>44935</v>
      </c>
      <c r="H163" s="3">
        <f t="shared" si="93"/>
        <v>63075</v>
      </c>
      <c r="I163" s="3">
        <f t="shared" si="93"/>
        <v>80861</v>
      </c>
      <c r="J163" s="3"/>
      <c r="K163" s="3"/>
      <c r="L163" s="3"/>
      <c r="M163" s="3"/>
      <c r="N163" s="3"/>
      <c r="O163" s="3"/>
    </row>
    <row r="164" spans="1:19">
      <c r="B164" s="51">
        <v>2004</v>
      </c>
      <c r="C164" s="3">
        <f>SUM(C76:C77)</f>
        <v>610941</v>
      </c>
      <c r="D164" s="3">
        <f t="shared" ref="D164:I164" si="94">SUM(D76:D77)</f>
        <v>583592</v>
      </c>
      <c r="E164" s="3">
        <f t="shared" si="94"/>
        <v>27349</v>
      </c>
      <c r="F164" s="3">
        <f t="shared" si="94"/>
        <v>452599</v>
      </c>
      <c r="G164" s="3">
        <f t="shared" si="94"/>
        <v>42392</v>
      </c>
      <c r="H164" s="3">
        <f t="shared" si="94"/>
        <v>49240</v>
      </c>
      <c r="I164" s="3">
        <f t="shared" si="94"/>
        <v>66710</v>
      </c>
      <c r="J164" s="3"/>
      <c r="K164" s="3" t="s">
        <v>24</v>
      </c>
      <c r="L164" s="3"/>
      <c r="M164" s="3"/>
      <c r="N164" s="3"/>
      <c r="O164" s="3"/>
      <c r="P164" s="2"/>
      <c r="Q164" s="2"/>
      <c r="S164" s="2"/>
    </row>
    <row r="165" spans="1:19">
      <c r="B165" s="51">
        <v>2005</v>
      </c>
      <c r="C165" s="3">
        <f>SUM(C81:C82)</f>
        <v>590495</v>
      </c>
      <c r="D165" s="3">
        <f t="shared" ref="D165:I165" si="95">SUM(D81:D82)</f>
        <v>560209</v>
      </c>
      <c r="E165" s="3">
        <f t="shared" si="95"/>
        <v>30286</v>
      </c>
      <c r="F165" s="3">
        <f t="shared" si="95"/>
        <v>437599</v>
      </c>
      <c r="G165" s="3">
        <f t="shared" si="95"/>
        <v>30192</v>
      </c>
      <c r="H165" s="3">
        <f t="shared" si="95"/>
        <v>51045</v>
      </c>
      <c r="I165" s="3">
        <f t="shared" si="95"/>
        <v>71659</v>
      </c>
      <c r="J165" s="3"/>
      <c r="K165" s="3"/>
      <c r="L165" s="3"/>
      <c r="M165" s="3"/>
      <c r="N165" s="3"/>
      <c r="O165" s="3"/>
      <c r="P165" s="178"/>
      <c r="Q165" s="2"/>
      <c r="S165" s="2"/>
    </row>
    <row r="166" spans="1:19">
      <c r="B166" s="51">
        <v>2006</v>
      </c>
      <c r="C166" s="3">
        <f>SUM(C86:C87)</f>
        <v>564467</v>
      </c>
      <c r="D166" s="3">
        <f t="shared" ref="D166:I166" si="96">SUM(D86:D87)</f>
        <v>540705</v>
      </c>
      <c r="E166" s="3">
        <f t="shared" si="96"/>
        <v>23762</v>
      </c>
      <c r="F166" s="3">
        <f t="shared" si="96"/>
        <v>430283</v>
      </c>
      <c r="G166" s="3">
        <f t="shared" si="96"/>
        <v>23482</v>
      </c>
      <c r="H166" s="3">
        <f t="shared" si="96"/>
        <v>53257</v>
      </c>
      <c r="I166" s="3">
        <f t="shared" si="96"/>
        <v>57445</v>
      </c>
      <c r="J166" s="3"/>
      <c r="K166" s="3"/>
      <c r="L166" s="3"/>
      <c r="M166" s="3"/>
      <c r="N166" s="3"/>
      <c r="O166" s="3"/>
      <c r="P166" s="179"/>
      <c r="Q166" s="179"/>
      <c r="R166" s="180"/>
      <c r="S166" s="179"/>
    </row>
    <row r="167" spans="1:19">
      <c r="B167" s="51">
        <v>2007</v>
      </c>
      <c r="C167" s="3">
        <f>SUM(C91:C92)</f>
        <v>716560</v>
      </c>
      <c r="D167" s="3">
        <f t="shared" ref="D167:I167" si="97">SUM(D91:D92)</f>
        <v>700702</v>
      </c>
      <c r="E167" s="3">
        <f t="shared" si="97"/>
        <v>15858</v>
      </c>
      <c r="F167" s="3">
        <f t="shared" si="97"/>
        <v>545767</v>
      </c>
      <c r="G167" s="3">
        <f t="shared" si="97"/>
        <v>30782</v>
      </c>
      <c r="H167" s="3">
        <f t="shared" si="97"/>
        <v>73779</v>
      </c>
      <c r="I167" s="3">
        <f t="shared" si="97"/>
        <v>66232</v>
      </c>
      <c r="J167" s="3"/>
      <c r="K167" s="3"/>
      <c r="L167" s="3"/>
      <c r="M167" s="3"/>
      <c r="N167" s="3"/>
      <c r="O167" s="3"/>
      <c r="P167" s="180" t="s">
        <v>24</v>
      </c>
      <c r="Q167" s="180"/>
      <c r="R167" s="180"/>
      <c r="S167" s="180"/>
    </row>
    <row r="168" spans="1:19">
      <c r="B168" s="51">
        <v>2008</v>
      </c>
      <c r="C168" s="3">
        <f>SUM(C96:C97)</f>
        <v>766207</v>
      </c>
      <c r="D168" s="3">
        <f t="shared" ref="D168:I168" si="98">SUM(D96:D97)</f>
        <v>729649</v>
      </c>
      <c r="E168" s="3">
        <f t="shared" si="98"/>
        <v>36558</v>
      </c>
      <c r="F168" s="3">
        <f t="shared" si="98"/>
        <v>569525</v>
      </c>
      <c r="G168" s="3">
        <f t="shared" si="98"/>
        <v>30385</v>
      </c>
      <c r="H168" s="3">
        <f t="shared" si="98"/>
        <v>84646</v>
      </c>
      <c r="I168" s="3">
        <f t="shared" si="98"/>
        <v>81651</v>
      </c>
      <c r="J168" s="3"/>
      <c r="K168" s="3"/>
      <c r="L168" s="3" t="s">
        <v>24</v>
      </c>
      <c r="M168" s="3"/>
      <c r="N168" s="3"/>
      <c r="O168" s="3"/>
      <c r="P168" s="181"/>
      <c r="Q168" s="181"/>
    </row>
    <row r="169" spans="1:19">
      <c r="B169" s="51">
        <v>2009</v>
      </c>
      <c r="C169" s="3">
        <f>SUM(C101:C102)</f>
        <v>677999</v>
      </c>
      <c r="D169" s="3">
        <f t="shared" ref="D169:I169" si="99">SUM(D101:D102)</f>
        <v>654385</v>
      </c>
      <c r="E169" s="3">
        <f t="shared" si="99"/>
        <v>23614</v>
      </c>
      <c r="F169" s="3">
        <f t="shared" si="99"/>
        <v>456241</v>
      </c>
      <c r="G169" s="3">
        <f t="shared" si="99"/>
        <v>23327</v>
      </c>
      <c r="H169" s="3">
        <f t="shared" si="99"/>
        <v>82556</v>
      </c>
      <c r="I169" s="3">
        <f t="shared" si="99"/>
        <v>115875</v>
      </c>
      <c r="J169" s="3"/>
      <c r="K169" s="3"/>
      <c r="L169" s="3"/>
      <c r="M169" s="3"/>
      <c r="N169" s="3"/>
      <c r="O169" s="3"/>
    </row>
    <row r="170" spans="1:19">
      <c r="B170" s="51">
        <v>2010</v>
      </c>
      <c r="C170" s="3">
        <f>SUM(C106:C107)</f>
        <v>652645</v>
      </c>
      <c r="D170" s="3">
        <f t="shared" ref="D170:I170" si="100">SUM(D106:D107)</f>
        <v>637215</v>
      </c>
      <c r="E170" s="3">
        <f t="shared" si="100"/>
        <v>15430</v>
      </c>
      <c r="F170" s="3">
        <f t="shared" si="100"/>
        <v>461329</v>
      </c>
      <c r="G170" s="3">
        <f t="shared" si="100"/>
        <v>25597</v>
      </c>
      <c r="H170" s="3">
        <f t="shared" si="100"/>
        <v>73746</v>
      </c>
      <c r="I170" s="3">
        <f t="shared" si="100"/>
        <v>91973</v>
      </c>
      <c r="J170" s="3"/>
      <c r="K170" s="3"/>
      <c r="L170" s="3"/>
      <c r="M170" s="3"/>
      <c r="N170" s="3"/>
      <c r="O170" s="3"/>
    </row>
    <row r="171" spans="1:19">
      <c r="B171" s="51">
        <v>2011</v>
      </c>
      <c r="C171" s="3">
        <f>SUM(C111:C112)</f>
        <v>870081</v>
      </c>
      <c r="D171" s="3">
        <f t="shared" ref="D171:I171" si="101">SUM(D111:D112)</f>
        <v>842617</v>
      </c>
      <c r="E171" s="3">
        <f t="shared" si="101"/>
        <v>27464</v>
      </c>
      <c r="F171" s="3">
        <f t="shared" si="101"/>
        <v>635170</v>
      </c>
      <c r="G171" s="3">
        <f t="shared" si="101"/>
        <v>25937</v>
      </c>
      <c r="H171" s="3">
        <f t="shared" si="101"/>
        <v>96970</v>
      </c>
      <c r="I171" s="3">
        <f t="shared" si="101"/>
        <v>112004</v>
      </c>
      <c r="J171" s="3"/>
      <c r="K171" s="3"/>
      <c r="L171" s="3"/>
      <c r="M171" s="3"/>
      <c r="N171" s="3"/>
      <c r="O171" s="3"/>
    </row>
    <row r="172" spans="1:19">
      <c r="B172" s="51">
        <v>2012</v>
      </c>
      <c r="C172" s="3">
        <f>SUM(C116:C117)</f>
        <v>871429</v>
      </c>
      <c r="D172" s="3">
        <f t="shared" ref="D172:I172" si="102">SUM(D116:D117)</f>
        <v>833197</v>
      </c>
      <c r="E172" s="3">
        <f t="shared" si="102"/>
        <v>38232</v>
      </c>
      <c r="F172" s="3">
        <f t="shared" si="102"/>
        <v>630829</v>
      </c>
      <c r="G172" s="3">
        <f t="shared" si="102"/>
        <v>23476</v>
      </c>
      <c r="H172" s="3">
        <f t="shared" si="102"/>
        <v>99367</v>
      </c>
      <c r="I172" s="3">
        <f t="shared" si="102"/>
        <v>117757</v>
      </c>
      <c r="J172" s="3"/>
      <c r="K172" s="3"/>
      <c r="L172" s="3"/>
      <c r="M172" s="3"/>
      <c r="N172" s="3"/>
      <c r="O172" s="3"/>
    </row>
    <row r="173" spans="1:19">
      <c r="B173" s="51">
        <v>2013</v>
      </c>
      <c r="C173" s="3">
        <f>SUM(C121:C122)</f>
        <v>850598</v>
      </c>
      <c r="D173" s="3">
        <f t="shared" ref="D173:I173" si="103">SUM(D121:D122)</f>
        <v>829879</v>
      </c>
      <c r="E173" s="3">
        <f t="shared" si="103"/>
        <v>20719</v>
      </c>
      <c r="F173" s="3">
        <f t="shared" si="103"/>
        <v>611552</v>
      </c>
      <c r="G173" s="3">
        <f t="shared" si="103"/>
        <v>26487</v>
      </c>
      <c r="H173" s="3">
        <f t="shared" si="103"/>
        <v>113414</v>
      </c>
      <c r="I173" s="3">
        <f t="shared" si="103"/>
        <v>99145</v>
      </c>
      <c r="J173" s="3"/>
      <c r="K173" s="3"/>
      <c r="L173" s="3"/>
      <c r="M173" s="3"/>
      <c r="N173" s="3"/>
      <c r="O173" s="3"/>
    </row>
    <row r="174" spans="1:19">
      <c r="B174" s="51">
        <v>2014</v>
      </c>
      <c r="C174" s="3">
        <f>SUM(C126:C127)</f>
        <v>1129955</v>
      </c>
      <c r="D174" s="3">
        <f t="shared" ref="D174:I174" si="104">SUM(D126:D127)</f>
        <v>1117890</v>
      </c>
      <c r="E174" s="3">
        <f t="shared" si="104"/>
        <v>12065</v>
      </c>
      <c r="F174" s="3">
        <f t="shared" si="104"/>
        <v>841951</v>
      </c>
      <c r="G174" s="3">
        <f t="shared" si="104"/>
        <v>37647</v>
      </c>
      <c r="H174" s="3">
        <f t="shared" si="104"/>
        <v>124891</v>
      </c>
      <c r="I174" s="3">
        <f t="shared" si="104"/>
        <v>125466</v>
      </c>
    </row>
    <row r="175" spans="1:19">
      <c r="B175" s="51">
        <v>2015</v>
      </c>
      <c r="C175" s="3">
        <f>SUM(C131:C132)</f>
        <v>947279</v>
      </c>
      <c r="D175" s="3">
        <f t="shared" ref="D175:I175" si="105">SUM(D131:D132)</f>
        <v>941464</v>
      </c>
      <c r="E175" s="3">
        <f t="shared" si="105"/>
        <v>5815</v>
      </c>
      <c r="F175" s="3">
        <f t="shared" si="105"/>
        <v>696660</v>
      </c>
      <c r="G175" s="3">
        <f t="shared" si="105"/>
        <v>34566</v>
      </c>
      <c r="H175" s="3">
        <f t="shared" si="105"/>
        <v>95570</v>
      </c>
      <c r="I175" s="3">
        <f t="shared" si="105"/>
        <v>120483</v>
      </c>
    </row>
    <row r="176" spans="1:19">
      <c r="B176" s="51">
        <v>2016</v>
      </c>
      <c r="C176" s="3">
        <f>SUM(C136:C137)</f>
        <v>797183</v>
      </c>
      <c r="D176" s="3">
        <f t="shared" ref="D176:I176" si="106">SUM(D136:D137)</f>
        <v>790636</v>
      </c>
      <c r="E176" s="3">
        <f t="shared" si="106"/>
        <v>6547</v>
      </c>
      <c r="F176" s="3">
        <f t="shared" si="106"/>
        <v>627762</v>
      </c>
      <c r="G176" s="3">
        <f t="shared" si="106"/>
        <v>32750</v>
      </c>
      <c r="H176" s="3">
        <f t="shared" si="106"/>
        <v>60836</v>
      </c>
      <c r="I176" s="3">
        <f t="shared" si="106"/>
        <v>75835</v>
      </c>
    </row>
    <row r="177" spans="1:14">
      <c r="B177" s="51">
        <v>2017</v>
      </c>
      <c r="C177" s="3">
        <f>SUM(C141:C142)</f>
        <v>979917</v>
      </c>
      <c r="D177" s="3">
        <f t="shared" ref="D177:I177" si="107">SUM(D141:D142)</f>
        <v>974563</v>
      </c>
      <c r="E177" s="3">
        <f t="shared" si="107"/>
        <v>5354</v>
      </c>
      <c r="F177" s="3">
        <f t="shared" si="107"/>
        <v>771259</v>
      </c>
      <c r="G177" s="3">
        <f t="shared" si="107"/>
        <v>34805</v>
      </c>
      <c r="H177" s="3">
        <f t="shared" si="107"/>
        <v>78346</v>
      </c>
      <c r="I177" s="3">
        <f t="shared" si="107"/>
        <v>95507</v>
      </c>
    </row>
    <row r="178" spans="1:14">
      <c r="B178" s="51">
        <v>2018</v>
      </c>
      <c r="C178" s="3">
        <f>SUM(C146:C147)</f>
        <v>1160163</v>
      </c>
      <c r="D178" s="3">
        <f t="shared" ref="D178:I178" si="108">SUM(D146:D147)</f>
        <v>1147110</v>
      </c>
      <c r="E178" s="3">
        <f t="shared" si="108"/>
        <v>13053</v>
      </c>
      <c r="F178" s="3">
        <f t="shared" si="108"/>
        <v>926879</v>
      </c>
      <c r="G178" s="3">
        <f t="shared" si="108"/>
        <v>32642</v>
      </c>
      <c r="H178" s="3">
        <f t="shared" si="108"/>
        <v>76394</v>
      </c>
      <c r="I178" s="3">
        <f t="shared" si="108"/>
        <v>124248</v>
      </c>
    </row>
    <row r="179" spans="1:14">
      <c r="B179" s="51">
        <v>2019</v>
      </c>
      <c r="C179" s="3">
        <f>SUM(C151:C152)</f>
        <v>1010152</v>
      </c>
      <c r="D179" s="3">
        <f t="shared" ref="D179:I179" si="109">SUM(D151:D152)</f>
        <v>1003083</v>
      </c>
      <c r="E179" s="3">
        <f t="shared" si="109"/>
        <v>7069</v>
      </c>
      <c r="F179" s="3">
        <f t="shared" si="109"/>
        <v>797217</v>
      </c>
      <c r="G179" s="3">
        <f t="shared" si="109"/>
        <v>30329</v>
      </c>
      <c r="H179" s="3">
        <f t="shared" si="109"/>
        <v>90521</v>
      </c>
      <c r="I179" s="3">
        <f t="shared" si="109"/>
        <v>92085</v>
      </c>
    </row>
    <row r="180" spans="1:14">
      <c r="B180" s="51">
        <v>2020</v>
      </c>
      <c r="C180" s="3">
        <f>SUM(C156:C157)</f>
        <v>1121763</v>
      </c>
      <c r="D180" s="3">
        <f t="shared" ref="D180:I180" si="110">SUM(D156:D157)</f>
        <v>1113964</v>
      </c>
      <c r="E180" s="3">
        <f t="shared" si="110"/>
        <v>7799</v>
      </c>
      <c r="F180" s="3">
        <f t="shared" si="110"/>
        <v>890961</v>
      </c>
      <c r="G180" s="3">
        <f t="shared" si="110"/>
        <v>28933</v>
      </c>
      <c r="H180" s="3">
        <f t="shared" si="110"/>
        <v>91920</v>
      </c>
      <c r="I180" s="3">
        <f t="shared" si="110"/>
        <v>109949</v>
      </c>
    </row>
    <row r="182" spans="1:14" ht="15">
      <c r="A182" s="184" t="s">
        <v>28</v>
      </c>
      <c r="B182" s="247">
        <v>2003</v>
      </c>
      <c r="C182" s="3">
        <f>SUM(C71:C73)</f>
        <v>1689363</v>
      </c>
      <c r="D182" s="3">
        <f t="shared" ref="D182:I182" si="111">SUM(D71:D73)</f>
        <v>1583705</v>
      </c>
      <c r="E182" s="3">
        <f t="shared" si="111"/>
        <v>105658</v>
      </c>
      <c r="F182" s="3">
        <f t="shared" si="111"/>
        <v>1262647</v>
      </c>
      <c r="G182" s="183">
        <f t="shared" si="111"/>
        <v>90057</v>
      </c>
      <c r="H182" s="3">
        <f t="shared" si="111"/>
        <v>143722</v>
      </c>
      <c r="I182" s="3">
        <f t="shared" si="111"/>
        <v>192937</v>
      </c>
      <c r="J182" s="185"/>
      <c r="K182" s="185"/>
      <c r="M182" s="185"/>
      <c r="N182" s="185"/>
    </row>
    <row r="183" spans="1:14">
      <c r="B183" s="247">
        <v>2004</v>
      </c>
      <c r="C183" s="3">
        <f>SUM(C76:C78)</f>
        <v>1597896</v>
      </c>
      <c r="D183" s="3">
        <f t="shared" ref="D183:I183" si="112">SUM(D76:D78)</f>
        <v>1545367</v>
      </c>
      <c r="E183" s="3">
        <f t="shared" si="112"/>
        <v>52529</v>
      </c>
      <c r="F183" s="3">
        <f t="shared" si="112"/>
        <v>1199479</v>
      </c>
      <c r="G183" s="3">
        <f t="shared" si="112"/>
        <v>81030</v>
      </c>
      <c r="H183" s="3">
        <f t="shared" si="112"/>
        <v>117355</v>
      </c>
      <c r="I183" s="3">
        <f t="shared" si="112"/>
        <v>200032</v>
      </c>
      <c r="J183" s="185"/>
      <c r="K183" s="185"/>
      <c r="M183" s="185"/>
      <c r="N183" s="185"/>
    </row>
    <row r="184" spans="1:14">
      <c r="B184" s="247">
        <v>2005</v>
      </c>
      <c r="C184" s="3">
        <f>SUM(C81:C83)</f>
        <v>1602899</v>
      </c>
      <c r="D184" s="3">
        <f t="shared" ref="D184:I184" si="113">SUM(D81:D83)</f>
        <v>1541277</v>
      </c>
      <c r="E184" s="3">
        <f t="shared" si="113"/>
        <v>61622</v>
      </c>
      <c r="F184" s="3">
        <f t="shared" si="113"/>
        <v>1189381</v>
      </c>
      <c r="G184" s="3">
        <f t="shared" si="113"/>
        <v>70140</v>
      </c>
      <c r="H184" s="3">
        <f t="shared" si="113"/>
        <v>133084</v>
      </c>
      <c r="I184" s="3">
        <f t="shared" si="113"/>
        <v>210294</v>
      </c>
      <c r="J184" s="185"/>
      <c r="K184" s="185"/>
      <c r="M184" s="185"/>
      <c r="N184" s="185"/>
    </row>
    <row r="185" spans="1:14">
      <c r="A185" s="1" t="s">
        <v>34</v>
      </c>
      <c r="B185" s="247">
        <v>2006</v>
      </c>
      <c r="C185" s="3">
        <f>SUM(C86:C88)</f>
        <v>1643218</v>
      </c>
      <c r="D185" s="3">
        <f t="shared" ref="D185:I185" si="114">SUM(D86:D88)</f>
        <v>1582166</v>
      </c>
      <c r="E185" s="3">
        <f t="shared" si="114"/>
        <v>61052</v>
      </c>
      <c r="F185" s="3">
        <f t="shared" si="114"/>
        <v>1250943</v>
      </c>
      <c r="G185" s="3">
        <f t="shared" si="114"/>
        <v>59377</v>
      </c>
      <c r="H185" s="3">
        <f t="shared" si="114"/>
        <v>155166</v>
      </c>
      <c r="I185" s="3">
        <f t="shared" si="114"/>
        <v>177732</v>
      </c>
      <c r="J185" s="185"/>
      <c r="K185" s="185"/>
      <c r="M185" s="185"/>
      <c r="N185" s="185"/>
    </row>
    <row r="186" spans="1:14">
      <c r="A186" s="250">
        <f>SUM(C186:C195)</f>
        <v>20410053</v>
      </c>
      <c r="B186" s="247">
        <v>2007</v>
      </c>
      <c r="C186" s="3">
        <f>SUM(C91:C93)</f>
        <v>1812426</v>
      </c>
      <c r="D186" s="3">
        <f t="shared" ref="D186:I186" si="115">SUM(D91:D93)</f>
        <v>1789073</v>
      </c>
      <c r="E186" s="3">
        <f t="shared" si="115"/>
        <v>23353</v>
      </c>
      <c r="F186" s="3">
        <f t="shared" si="115"/>
        <v>1365360</v>
      </c>
      <c r="G186" s="183">
        <f t="shared" si="115"/>
        <v>74744</v>
      </c>
      <c r="H186" s="3">
        <f t="shared" si="115"/>
        <v>175403</v>
      </c>
      <c r="I186" s="3">
        <f t="shared" si="115"/>
        <v>196919</v>
      </c>
      <c r="J186" s="185"/>
      <c r="K186" s="185"/>
      <c r="M186" s="185"/>
      <c r="N186" s="185"/>
    </row>
    <row r="187" spans="1:14">
      <c r="A187" s="249">
        <f>A186/10</f>
        <v>2041005.3</v>
      </c>
      <c r="B187" s="247">
        <v>2008</v>
      </c>
      <c r="C187" s="3">
        <f>SUM(C96:C98)</f>
        <v>2059691</v>
      </c>
      <c r="D187" s="3">
        <f t="shared" ref="D187:I187" si="116">SUM(D96:D98)</f>
        <v>1991196</v>
      </c>
      <c r="E187" s="3">
        <f t="shared" si="116"/>
        <v>68495</v>
      </c>
      <c r="F187" s="3">
        <f t="shared" si="116"/>
        <v>1486112</v>
      </c>
      <c r="G187" s="3">
        <f t="shared" si="116"/>
        <v>71894</v>
      </c>
      <c r="H187" s="3">
        <f t="shared" si="116"/>
        <v>193135</v>
      </c>
      <c r="I187" s="183">
        <f t="shared" si="116"/>
        <v>308550</v>
      </c>
      <c r="J187" s="185"/>
      <c r="K187" s="185"/>
      <c r="M187" s="185"/>
      <c r="N187" s="185"/>
    </row>
    <row r="188" spans="1:14">
      <c r="B188" s="247">
        <v>2009</v>
      </c>
      <c r="C188" s="3">
        <f>SUM(C101:C103)</f>
        <v>1766024</v>
      </c>
      <c r="D188" s="3">
        <f t="shared" ref="D188:I188" si="117">SUM(D101:D103)</f>
        <v>1706754</v>
      </c>
      <c r="E188" s="3">
        <f t="shared" si="117"/>
        <v>59270</v>
      </c>
      <c r="F188" s="3">
        <f t="shared" si="117"/>
        <v>1306878</v>
      </c>
      <c r="G188" s="3">
        <f t="shared" si="117"/>
        <v>54883</v>
      </c>
      <c r="H188" s="3">
        <f t="shared" si="117"/>
        <v>174486</v>
      </c>
      <c r="I188" s="3">
        <f t="shared" si="117"/>
        <v>229777</v>
      </c>
      <c r="J188" s="185"/>
      <c r="K188" s="185"/>
      <c r="M188" s="185"/>
      <c r="N188" s="185"/>
    </row>
    <row r="189" spans="1:14">
      <c r="B189" s="247">
        <v>2010</v>
      </c>
      <c r="C189" s="3">
        <f>SUM(C106:C108)</f>
        <v>1694917</v>
      </c>
      <c r="D189" s="3">
        <f t="shared" ref="D189:I189" si="118">SUM(D106:D108)</f>
        <v>1658433</v>
      </c>
      <c r="E189" s="3">
        <f t="shared" si="118"/>
        <v>36484</v>
      </c>
      <c r="F189" s="3">
        <f t="shared" si="118"/>
        <v>1278154</v>
      </c>
      <c r="G189" s="3">
        <f t="shared" si="118"/>
        <v>50257</v>
      </c>
      <c r="H189" s="3">
        <f t="shared" si="118"/>
        <v>172069</v>
      </c>
      <c r="I189" s="3">
        <f t="shared" si="118"/>
        <v>194437</v>
      </c>
      <c r="J189" s="185"/>
      <c r="K189" s="185"/>
      <c r="M189" s="185"/>
      <c r="N189" s="185"/>
    </row>
    <row r="190" spans="1:14">
      <c r="B190" s="247">
        <v>2011</v>
      </c>
      <c r="C190" s="3">
        <f>SUM(C111:C113)</f>
        <v>1970358</v>
      </c>
      <c r="D190" s="3">
        <f t="shared" ref="D190:I190" si="119">SUM(D111:D113)</f>
        <v>1927671</v>
      </c>
      <c r="E190" s="3">
        <f t="shared" si="119"/>
        <v>42687</v>
      </c>
      <c r="F190" s="3">
        <f t="shared" si="119"/>
        <v>1493928</v>
      </c>
      <c r="G190" s="3">
        <f t="shared" si="119"/>
        <v>58650</v>
      </c>
      <c r="H190" s="3">
        <f t="shared" si="119"/>
        <v>188563</v>
      </c>
      <c r="I190" s="3">
        <f t="shared" si="119"/>
        <v>229217</v>
      </c>
      <c r="J190" s="185"/>
      <c r="K190" s="185"/>
      <c r="M190" s="185"/>
      <c r="N190" s="185"/>
    </row>
    <row r="191" spans="1:14">
      <c r="B191" s="247">
        <v>2012</v>
      </c>
      <c r="C191" s="3">
        <f>SUM(C116:C118)</f>
        <v>2148870</v>
      </c>
      <c r="D191" s="3">
        <f t="shared" ref="D191:I191" si="120">SUM(D116:D118)</f>
        <v>2076710</v>
      </c>
      <c r="E191" s="183">
        <f t="shared" si="120"/>
        <v>72160</v>
      </c>
      <c r="F191" s="3">
        <f t="shared" si="120"/>
        <v>1623021</v>
      </c>
      <c r="G191" s="3">
        <f t="shared" si="120"/>
        <v>66017</v>
      </c>
      <c r="H191" s="3">
        <f t="shared" si="120"/>
        <v>229281</v>
      </c>
      <c r="I191" s="3">
        <f t="shared" si="120"/>
        <v>230551</v>
      </c>
      <c r="J191" s="185"/>
      <c r="K191" s="185"/>
      <c r="M191" s="185"/>
      <c r="N191" s="185"/>
    </row>
    <row r="192" spans="1:14">
      <c r="B192" s="247">
        <v>2013</v>
      </c>
      <c r="C192" s="183">
        <f>SUM(C121:C123)</f>
        <v>2169116</v>
      </c>
      <c r="D192" s="3">
        <f t="shared" ref="D192:I192" si="121">SUM(D121:D123)</f>
        <v>2112405</v>
      </c>
      <c r="E192" s="3">
        <f t="shared" si="121"/>
        <v>56711</v>
      </c>
      <c r="F192" s="3">
        <f t="shared" si="121"/>
        <v>1637154</v>
      </c>
      <c r="G192" s="183">
        <f t="shared" si="121"/>
        <v>71537</v>
      </c>
      <c r="H192" s="183">
        <f t="shared" si="121"/>
        <v>244434</v>
      </c>
      <c r="I192" s="3">
        <f t="shared" si="121"/>
        <v>215991</v>
      </c>
      <c r="J192" s="185"/>
      <c r="K192" s="185"/>
      <c r="M192" s="185"/>
      <c r="N192" s="185"/>
    </row>
    <row r="193" spans="1:23">
      <c r="B193" s="247">
        <v>2014</v>
      </c>
      <c r="C193" s="183">
        <f>SUM(C126:C128)</f>
        <v>2496056</v>
      </c>
      <c r="D193" s="183">
        <f t="shared" ref="D193:I193" si="122">SUM(D126:D128)</f>
        <v>2447145</v>
      </c>
      <c r="E193" s="183">
        <f t="shared" si="122"/>
        <v>48911</v>
      </c>
      <c r="F193" s="183">
        <f t="shared" si="122"/>
        <v>1946820</v>
      </c>
      <c r="G193" s="183">
        <f t="shared" si="122"/>
        <v>80026</v>
      </c>
      <c r="H193" s="183">
        <f t="shared" si="122"/>
        <v>226879</v>
      </c>
      <c r="I193" s="183">
        <f t="shared" si="122"/>
        <v>242331</v>
      </c>
      <c r="J193" s="185"/>
      <c r="K193" s="185"/>
      <c r="M193" s="185"/>
      <c r="N193" s="185"/>
    </row>
    <row r="194" spans="1:23">
      <c r="B194" s="247">
        <v>2015</v>
      </c>
      <c r="C194" s="183">
        <f>SUM(C131:C133)</f>
        <v>2256344</v>
      </c>
      <c r="D194" s="183">
        <f t="shared" ref="D194:I194" si="123">SUM(D131:D133)</f>
        <v>2213063</v>
      </c>
      <c r="E194" s="183">
        <f t="shared" si="123"/>
        <v>43281</v>
      </c>
      <c r="F194" s="183">
        <f t="shared" si="123"/>
        <v>1764924</v>
      </c>
      <c r="G194" s="183">
        <f t="shared" si="123"/>
        <v>78518</v>
      </c>
      <c r="H194" s="183">
        <f t="shared" si="123"/>
        <v>197738</v>
      </c>
      <c r="I194" s="183">
        <f t="shared" si="123"/>
        <v>215164</v>
      </c>
      <c r="J194" s="185"/>
      <c r="K194" s="185"/>
      <c r="M194" s="185"/>
      <c r="N194" s="185"/>
    </row>
    <row r="195" spans="1:23">
      <c r="B195" s="247">
        <v>2016</v>
      </c>
      <c r="C195" s="183">
        <f>SUM(C136:C138)</f>
        <v>2036251</v>
      </c>
      <c r="D195" s="183">
        <f t="shared" ref="D195:I195" si="124">SUM(D136:D138)</f>
        <v>2001579</v>
      </c>
      <c r="E195" s="183">
        <f t="shared" si="124"/>
        <v>34672</v>
      </c>
      <c r="F195" s="183">
        <f t="shared" si="124"/>
        <v>1662029</v>
      </c>
      <c r="G195" s="183">
        <f t="shared" si="124"/>
        <v>73702</v>
      </c>
      <c r="H195" s="183">
        <f t="shared" si="124"/>
        <v>128100</v>
      </c>
      <c r="I195" s="183">
        <f t="shared" si="124"/>
        <v>172420</v>
      </c>
      <c r="J195" s="185"/>
      <c r="K195" s="185"/>
      <c r="M195" s="185"/>
      <c r="N195" s="185"/>
    </row>
    <row r="196" spans="1:23">
      <c r="B196" s="247">
        <v>2017</v>
      </c>
      <c r="C196" s="183">
        <f>SUM(C141:C143)</f>
        <v>2415331</v>
      </c>
      <c r="D196" s="183">
        <f t="shared" ref="D196:I196" si="125">SUM(D141:D143)</f>
        <v>2387175</v>
      </c>
      <c r="E196" s="183">
        <f t="shared" si="125"/>
        <v>28156</v>
      </c>
      <c r="F196" s="183">
        <f t="shared" si="125"/>
        <v>1962824</v>
      </c>
      <c r="G196" s="183">
        <f t="shared" si="125"/>
        <v>78845</v>
      </c>
      <c r="H196" s="183">
        <f t="shared" si="125"/>
        <v>157301</v>
      </c>
      <c r="I196" s="183">
        <f t="shared" si="125"/>
        <v>216361</v>
      </c>
      <c r="J196" s="185"/>
      <c r="K196" s="185"/>
      <c r="M196" s="185"/>
      <c r="N196" s="185"/>
    </row>
    <row r="197" spans="1:23">
      <c r="B197" s="247">
        <v>2018</v>
      </c>
      <c r="C197" s="183">
        <f>SUM(C146:C148)</f>
        <v>2609336</v>
      </c>
      <c r="D197" s="183">
        <f t="shared" ref="D197:I197" si="126">SUM(D146:D148)</f>
        <v>2567802</v>
      </c>
      <c r="E197" s="183">
        <f t="shared" si="126"/>
        <v>41534</v>
      </c>
      <c r="F197" s="183">
        <f t="shared" si="126"/>
        <v>2137356</v>
      </c>
      <c r="G197" s="183">
        <f t="shared" si="126"/>
        <v>77232</v>
      </c>
      <c r="H197" s="183">
        <f t="shared" si="126"/>
        <v>159071</v>
      </c>
      <c r="I197" s="183">
        <f t="shared" si="126"/>
        <v>235677</v>
      </c>
      <c r="J197" s="185"/>
      <c r="K197" s="185" t="s">
        <v>24</v>
      </c>
      <c r="M197" s="185"/>
      <c r="N197" s="185"/>
    </row>
    <row r="198" spans="1:23">
      <c r="B198" s="247">
        <v>2019</v>
      </c>
      <c r="C198" s="183">
        <f>SUM(C151:C153)</f>
        <v>2285392</v>
      </c>
      <c r="D198" s="183">
        <f t="shared" ref="D198:I198" si="127">SUM(D151:D153)</f>
        <v>2259251</v>
      </c>
      <c r="E198" s="183">
        <f t="shared" si="127"/>
        <v>26141</v>
      </c>
      <c r="F198" s="183">
        <f t="shared" si="127"/>
        <v>1845815</v>
      </c>
      <c r="G198" s="183">
        <f t="shared" si="127"/>
        <v>68174</v>
      </c>
      <c r="H198" s="183">
        <f t="shared" si="127"/>
        <v>173822</v>
      </c>
      <c r="I198" s="183">
        <f t="shared" si="127"/>
        <v>197581</v>
      </c>
      <c r="J198" s="185"/>
      <c r="K198" s="185"/>
      <c r="M198" s="185"/>
      <c r="N198" s="185"/>
    </row>
    <row r="199" spans="1:23">
      <c r="B199" s="247">
        <v>2020</v>
      </c>
      <c r="C199" s="183">
        <f>SUM(C156:C158)</f>
        <v>2388585</v>
      </c>
      <c r="D199" s="183">
        <f t="shared" ref="D199:I199" si="128">SUM(D156:D158)</f>
        <v>2349873</v>
      </c>
      <c r="E199" s="183">
        <f t="shared" si="128"/>
        <v>38712</v>
      </c>
      <c r="F199" s="183">
        <f t="shared" si="128"/>
        <v>1967632</v>
      </c>
      <c r="G199" s="183">
        <f t="shared" si="128"/>
        <v>66872</v>
      </c>
      <c r="H199" s="183">
        <f t="shared" si="128"/>
        <v>142596</v>
      </c>
      <c r="I199" s="183">
        <f t="shared" si="128"/>
        <v>211485</v>
      </c>
      <c r="J199" s="185"/>
      <c r="K199" s="185"/>
      <c r="M199" s="185"/>
      <c r="N199" s="185"/>
    </row>
    <row r="200" spans="1:23">
      <c r="B200" s="247"/>
      <c r="C200" s="183"/>
      <c r="D200" s="183"/>
      <c r="E200" s="183"/>
      <c r="F200" s="183"/>
      <c r="G200" s="203"/>
      <c r="H200" s="203"/>
      <c r="I200" s="203"/>
      <c r="J200" s="185"/>
      <c r="K200" s="185"/>
      <c r="M200" s="185"/>
      <c r="N200" s="185"/>
    </row>
    <row r="201" spans="1:23">
      <c r="A201" s="1" t="s">
        <v>36</v>
      </c>
      <c r="B201" s="247"/>
      <c r="C201" s="181">
        <f>C197/C196</f>
        <v>1.0803223243522317</v>
      </c>
      <c r="E201" s="181">
        <f>E197/E196</f>
        <v>1.475138513993465</v>
      </c>
      <c r="F201" s="181">
        <f>F197/F196</f>
        <v>1.0889188230834757</v>
      </c>
      <c r="G201" s="181">
        <f>G197/G196</f>
        <v>0.97954213964106795</v>
      </c>
      <c r="H201" s="181">
        <f>H197/H196</f>
        <v>1.0112523124455661</v>
      </c>
      <c r="I201" s="181">
        <f>I197/I196</f>
        <v>1.0892767180776572</v>
      </c>
      <c r="J201" s="185"/>
      <c r="K201" s="185"/>
      <c r="M201" s="185"/>
      <c r="N201" s="185"/>
    </row>
    <row r="202" spans="1:23">
      <c r="B202" s="247"/>
      <c r="E202" s="248"/>
      <c r="J202" s="185"/>
      <c r="K202" s="185"/>
      <c r="M202" s="185"/>
      <c r="N202" s="185"/>
    </row>
    <row r="203" spans="1:23" ht="15">
      <c r="A203" s="184" t="s">
        <v>31</v>
      </c>
      <c r="B203" s="247">
        <f t="shared" ref="B203:B213" si="129">B182</f>
        <v>2003</v>
      </c>
      <c r="C203" s="3">
        <f>SUM(C71:C74)</f>
        <v>2182394</v>
      </c>
      <c r="D203" s="3">
        <f t="shared" ref="D203:I203" si="130">SUM(D71:D74)</f>
        <v>2041818</v>
      </c>
      <c r="E203" s="3">
        <f t="shared" si="130"/>
        <v>140576</v>
      </c>
      <c r="F203" s="3">
        <f t="shared" si="130"/>
        <v>1566788</v>
      </c>
      <c r="G203" s="3">
        <f t="shared" si="130"/>
        <v>104154</v>
      </c>
      <c r="H203" s="3">
        <f t="shared" si="130"/>
        <v>163871</v>
      </c>
      <c r="I203" s="3">
        <f t="shared" si="130"/>
        <v>347581</v>
      </c>
      <c r="J203" s="185"/>
      <c r="K203" s="185"/>
      <c r="M203" s="185"/>
      <c r="N203" s="185"/>
      <c r="O203" s="247">
        <v>2003</v>
      </c>
      <c r="P203" s="3">
        <f>SUM(P71:P74)</f>
        <v>3133576</v>
      </c>
      <c r="Q203" s="3">
        <f t="shared" ref="Q203:V203" si="131">SUM(Q71:Q74)</f>
        <v>122534.11764705883</v>
      </c>
      <c r="R203" s="3">
        <f t="shared" si="131"/>
        <v>364157.77777777781</v>
      </c>
      <c r="S203" s="3">
        <f t="shared" si="131"/>
        <v>868952.5</v>
      </c>
      <c r="T203" s="3">
        <f t="shared" si="131"/>
        <v>4489220.3954248372</v>
      </c>
      <c r="U203" s="3">
        <f t="shared" si="131"/>
        <v>0</v>
      </c>
      <c r="V203" s="3">
        <f t="shared" si="131"/>
        <v>4208068.3954248372</v>
      </c>
      <c r="W203" s="3">
        <f>SUM(W71:W74)</f>
        <v>281152</v>
      </c>
    </row>
    <row r="204" spans="1:23">
      <c r="A204" s="1" t="s">
        <v>24</v>
      </c>
      <c r="B204" s="247">
        <f t="shared" si="129"/>
        <v>2004</v>
      </c>
      <c r="C204" s="3">
        <f>SUM(C76:C79)</f>
        <v>1955514</v>
      </c>
      <c r="D204" s="3">
        <f t="shared" ref="D204:I204" si="132">SUM(D76:D79)</f>
        <v>1859166</v>
      </c>
      <c r="E204" s="3">
        <f t="shared" si="132"/>
        <v>96348</v>
      </c>
      <c r="F204" s="3">
        <f t="shared" si="132"/>
        <v>1380206</v>
      </c>
      <c r="G204" s="3">
        <f t="shared" si="132"/>
        <v>91048</v>
      </c>
      <c r="H204" s="3">
        <f t="shared" si="132"/>
        <v>134096</v>
      </c>
      <c r="I204" s="3">
        <f t="shared" si="132"/>
        <v>350164</v>
      </c>
      <c r="J204" s="185"/>
      <c r="K204" s="185"/>
      <c r="M204" s="185"/>
      <c r="N204" s="185"/>
      <c r="O204" s="247">
        <v>2004</v>
      </c>
      <c r="P204" s="3">
        <f>SUM(P76:P79)</f>
        <v>2760412</v>
      </c>
      <c r="Q204" s="3">
        <f t="shared" ref="Q204:V204" si="133">SUM(Q76:Q79)</f>
        <v>107115.29411764705</v>
      </c>
      <c r="R204" s="3">
        <f t="shared" si="133"/>
        <v>297991.11111111112</v>
      </c>
      <c r="S204" s="3">
        <f t="shared" si="133"/>
        <v>875410</v>
      </c>
      <c r="T204" s="3">
        <f t="shared" si="133"/>
        <v>4040928.4052287582</v>
      </c>
      <c r="U204" s="3">
        <f t="shared" si="133"/>
        <v>0</v>
      </c>
      <c r="V204" s="3">
        <f t="shared" si="133"/>
        <v>3848232.4052287582</v>
      </c>
      <c r="W204" s="3">
        <f>SUM(W76:W79)</f>
        <v>192696</v>
      </c>
    </row>
    <row r="205" spans="1:23">
      <c r="A205" s="1" t="s">
        <v>24</v>
      </c>
      <c r="B205" s="247">
        <f t="shared" si="129"/>
        <v>2005</v>
      </c>
      <c r="C205" s="3">
        <f>SUM(C81:C84)</f>
        <v>1922645</v>
      </c>
      <c r="D205" s="3">
        <f t="shared" ref="D205:I205" si="134">SUM(D81:D84)</f>
        <v>1820894</v>
      </c>
      <c r="E205" s="3">
        <f t="shared" si="134"/>
        <v>101751</v>
      </c>
      <c r="F205" s="3">
        <f t="shared" si="134"/>
        <v>1358966</v>
      </c>
      <c r="G205" s="3">
        <f t="shared" si="134"/>
        <v>82623</v>
      </c>
      <c r="H205" s="3">
        <f t="shared" si="134"/>
        <v>145916</v>
      </c>
      <c r="I205" s="3">
        <f t="shared" si="134"/>
        <v>335140</v>
      </c>
      <c r="J205" s="185"/>
      <c r="K205" s="185"/>
      <c r="M205" s="185"/>
      <c r="N205" s="185"/>
      <c r="O205" s="247">
        <v>2005</v>
      </c>
      <c r="P205" s="3">
        <f>SUM(P81:P84)</f>
        <v>2717932</v>
      </c>
      <c r="Q205" s="3">
        <f t="shared" ref="Q205:V205" si="135">SUM(Q81:Q84)</f>
        <v>97203.529411764699</v>
      </c>
      <c r="R205" s="3">
        <f t="shared" si="135"/>
        <v>324257.77777777781</v>
      </c>
      <c r="S205" s="3">
        <f t="shared" si="135"/>
        <v>837850</v>
      </c>
      <c r="T205" s="3">
        <f t="shared" si="135"/>
        <v>3977243.3071895428</v>
      </c>
      <c r="U205" s="3">
        <f t="shared" si="135"/>
        <v>0</v>
      </c>
      <c r="V205" s="3">
        <f t="shared" si="135"/>
        <v>3773741.3071895428</v>
      </c>
      <c r="W205" s="3">
        <f>SUM(W81:W84)</f>
        <v>203502</v>
      </c>
    </row>
    <row r="206" spans="1:23">
      <c r="A206" s="1" t="s">
        <v>24</v>
      </c>
      <c r="B206" s="247">
        <f t="shared" si="129"/>
        <v>2006</v>
      </c>
      <c r="C206" s="3">
        <f>SUM(C86:C89)</f>
        <v>2000098</v>
      </c>
      <c r="D206" s="3">
        <f t="shared" ref="D206:I206" si="136">SUM(D86:D89)</f>
        <v>1893904</v>
      </c>
      <c r="E206" s="3">
        <f t="shared" si="136"/>
        <v>106194</v>
      </c>
      <c r="F206" s="3">
        <f t="shared" si="136"/>
        <v>1469070</v>
      </c>
      <c r="G206" s="3">
        <f t="shared" si="136"/>
        <v>69800</v>
      </c>
      <c r="H206" s="3">
        <f t="shared" si="136"/>
        <v>175894</v>
      </c>
      <c r="I206" s="3">
        <f t="shared" si="136"/>
        <v>285334</v>
      </c>
      <c r="J206" s="185"/>
      <c r="K206" s="185"/>
      <c r="M206" s="185"/>
      <c r="N206" s="185"/>
      <c r="O206" s="247">
        <v>2006</v>
      </c>
      <c r="P206" s="3">
        <f>SUM(P86:P89)</f>
        <v>2938140</v>
      </c>
      <c r="Q206" s="3">
        <f t="shared" ref="Q206:V206" si="137">SUM(Q86:Q89)</f>
        <v>82117.647058823524</v>
      </c>
      <c r="R206" s="3">
        <f t="shared" si="137"/>
        <v>390875.5555555555</v>
      </c>
      <c r="S206" s="3">
        <f t="shared" si="137"/>
        <v>713335</v>
      </c>
      <c r="T206" s="3">
        <f t="shared" si="137"/>
        <v>4124468.2026143791</v>
      </c>
      <c r="U206" s="3">
        <f t="shared" si="137"/>
        <v>0</v>
      </c>
      <c r="V206" s="3">
        <f t="shared" si="137"/>
        <v>3912080.2026143791</v>
      </c>
      <c r="W206" s="3">
        <f>SUM(W86:W89)</f>
        <v>212388</v>
      </c>
    </row>
    <row r="207" spans="1:23">
      <c r="A207" s="25">
        <f>SUM(C207:C216)</f>
        <v>24287383</v>
      </c>
      <c r="B207" s="247">
        <f t="shared" si="129"/>
        <v>2007</v>
      </c>
      <c r="C207" s="3">
        <f>SUM(C91:C94)</f>
        <v>2164771</v>
      </c>
      <c r="D207" s="3">
        <f t="shared" ref="D207:I207" si="138">SUM(D91:D94)</f>
        <v>2108471</v>
      </c>
      <c r="E207" s="3">
        <f t="shared" si="138"/>
        <v>56300</v>
      </c>
      <c r="F207" s="3">
        <f t="shared" si="138"/>
        <v>1562518</v>
      </c>
      <c r="G207" s="3">
        <f t="shared" si="138"/>
        <v>87397</v>
      </c>
      <c r="H207" s="3">
        <f t="shared" si="138"/>
        <v>196304</v>
      </c>
      <c r="I207" s="3">
        <f t="shared" si="138"/>
        <v>318552</v>
      </c>
      <c r="J207" s="185"/>
      <c r="K207" s="185"/>
      <c r="M207" s="185"/>
      <c r="N207" s="185"/>
      <c r="O207" s="247">
        <v>2007</v>
      </c>
      <c r="P207" s="3">
        <f>SUM(P91:P94)</f>
        <v>3125036</v>
      </c>
      <c r="Q207" s="3">
        <f t="shared" ref="Q207:V207" si="139">SUM(Q91:Q94)</f>
        <v>102820</v>
      </c>
      <c r="R207" s="3">
        <f t="shared" si="139"/>
        <v>436231.11111111107</v>
      </c>
      <c r="S207" s="3">
        <f t="shared" si="139"/>
        <v>796380</v>
      </c>
      <c r="T207" s="3">
        <f t="shared" si="139"/>
        <v>4460467.111111111</v>
      </c>
      <c r="U207" s="3">
        <f t="shared" si="139"/>
        <v>0</v>
      </c>
      <c r="V207" s="3">
        <f t="shared" si="139"/>
        <v>4347867.111111111</v>
      </c>
      <c r="W207" s="3">
        <f>SUM(W91:W94)</f>
        <v>112600</v>
      </c>
    </row>
    <row r="208" spans="1:23">
      <c r="A208" s="249">
        <f>A207/10</f>
        <v>2428738.2999999998</v>
      </c>
      <c r="B208" s="247">
        <f t="shared" si="129"/>
        <v>2008</v>
      </c>
      <c r="C208" s="3">
        <f>SUM(C96:C99)</f>
        <v>2447888</v>
      </c>
      <c r="D208" s="3">
        <f t="shared" ref="D208:I208" si="140">SUM(D96:D99)</f>
        <v>2349031</v>
      </c>
      <c r="E208" s="3">
        <f t="shared" si="140"/>
        <v>98857</v>
      </c>
      <c r="F208" s="3">
        <f t="shared" si="140"/>
        <v>1679869</v>
      </c>
      <c r="G208" s="3">
        <f t="shared" si="140"/>
        <v>79503</v>
      </c>
      <c r="H208" s="3">
        <f t="shared" si="140"/>
        <v>219630</v>
      </c>
      <c r="I208" s="3">
        <f t="shared" si="140"/>
        <v>468886</v>
      </c>
      <c r="J208" s="185"/>
      <c r="K208" s="185"/>
      <c r="M208" s="185"/>
      <c r="N208" s="185"/>
      <c r="O208" s="247">
        <v>2008</v>
      </c>
      <c r="P208" s="3">
        <f>SUM(P96:P99)</f>
        <v>3359738</v>
      </c>
      <c r="Q208" s="3">
        <f t="shared" ref="Q208:V208" si="141">SUM(Q96:Q99)</f>
        <v>93532.941176470587</v>
      </c>
      <c r="R208" s="3">
        <f t="shared" si="141"/>
        <v>488066.66666666663</v>
      </c>
      <c r="S208" s="3">
        <f t="shared" si="141"/>
        <v>1172215</v>
      </c>
      <c r="T208" s="3">
        <f t="shared" si="141"/>
        <v>5113552.6078431373</v>
      </c>
      <c r="U208" s="3">
        <f t="shared" si="141"/>
        <v>0</v>
      </c>
      <c r="V208" s="3">
        <f t="shared" si="141"/>
        <v>4915838.6078431373</v>
      </c>
      <c r="W208" s="3">
        <f>SUM(W96:W99)</f>
        <v>197714</v>
      </c>
    </row>
    <row r="209" spans="1:28" s="282" customFormat="1">
      <c r="A209" s="275" t="s">
        <v>24</v>
      </c>
      <c r="B209" s="276">
        <f t="shared" si="129"/>
        <v>2009</v>
      </c>
      <c r="C209" s="203">
        <f>SUM(C101:C104)</f>
        <v>2100230</v>
      </c>
      <c r="D209" s="203">
        <f t="shared" ref="D209:I209" si="142">SUM(D101:D104)</f>
        <v>2007505</v>
      </c>
      <c r="E209" s="203">
        <f t="shared" si="142"/>
        <v>92725</v>
      </c>
      <c r="F209" s="203">
        <f t="shared" si="142"/>
        <v>1478348</v>
      </c>
      <c r="G209" s="203">
        <f t="shared" si="142"/>
        <v>64520</v>
      </c>
      <c r="H209" s="203">
        <f t="shared" si="142"/>
        <v>194255</v>
      </c>
      <c r="I209" s="203">
        <f t="shared" si="142"/>
        <v>363107</v>
      </c>
      <c r="J209" s="277"/>
      <c r="K209" s="277"/>
      <c r="L209" s="278"/>
      <c r="M209" s="277"/>
      <c r="N209" s="277"/>
      <c r="O209" s="276">
        <v>2009</v>
      </c>
      <c r="P209" s="203">
        <f>SUM(P101:P104)</f>
        <v>2956696</v>
      </c>
      <c r="Q209" s="203">
        <f t="shared" ref="Q209:V209" si="143">SUM(Q101:Q104)</f>
        <v>75905.882352941175</v>
      </c>
      <c r="R209" s="203">
        <f t="shared" si="143"/>
        <v>431677.77777777775</v>
      </c>
      <c r="S209" s="203">
        <f t="shared" si="143"/>
        <v>907767.5</v>
      </c>
      <c r="T209" s="203">
        <f t="shared" si="143"/>
        <v>4372047.1601307187</v>
      </c>
      <c r="U209" s="203">
        <f t="shared" si="143"/>
        <v>0</v>
      </c>
      <c r="V209" s="203">
        <f t="shared" si="143"/>
        <v>4186597.1601307187</v>
      </c>
      <c r="W209" s="203">
        <f>SUM(W101:W104)</f>
        <v>185450</v>
      </c>
      <c r="X209" s="279"/>
      <c r="Y209" s="280"/>
      <c r="Z209" s="280"/>
      <c r="AA209" s="280"/>
      <c r="AB209" s="281"/>
    </row>
    <row r="210" spans="1:28">
      <c r="A210" s="1" t="s">
        <v>24</v>
      </c>
      <c r="B210" s="247">
        <f t="shared" si="129"/>
        <v>2010</v>
      </c>
      <c r="C210" s="3">
        <f>SUM(C106:C109)</f>
        <v>2056128</v>
      </c>
      <c r="D210" s="3">
        <f t="shared" ref="D210:I210" si="144">SUM(D106:D109)</f>
        <v>1972534</v>
      </c>
      <c r="E210" s="3">
        <f t="shared" si="144"/>
        <v>83594</v>
      </c>
      <c r="F210" s="3">
        <f t="shared" si="144"/>
        <v>1481913</v>
      </c>
      <c r="G210" s="3">
        <f t="shared" si="144"/>
        <v>58607</v>
      </c>
      <c r="H210" s="3">
        <f t="shared" si="144"/>
        <v>193663</v>
      </c>
      <c r="I210" s="3">
        <f t="shared" si="144"/>
        <v>321945</v>
      </c>
      <c r="J210" s="185"/>
      <c r="K210" s="185"/>
      <c r="M210" s="185"/>
      <c r="N210" s="185"/>
      <c r="O210" s="247">
        <v>2010</v>
      </c>
      <c r="P210" s="3">
        <f>SUM(P106:P109)</f>
        <v>2963826</v>
      </c>
      <c r="Q210" s="3">
        <f t="shared" ref="Q210:V210" si="145">SUM(Q106:Q109)</f>
        <v>68949.411764705874</v>
      </c>
      <c r="R210" s="3">
        <f t="shared" si="145"/>
        <v>430362.22222222225</v>
      </c>
      <c r="S210" s="3">
        <f t="shared" si="145"/>
        <v>804862.5</v>
      </c>
      <c r="T210" s="3">
        <f t="shared" si="145"/>
        <v>4268000.1339869276</v>
      </c>
      <c r="U210" s="3">
        <f t="shared" si="145"/>
        <v>0</v>
      </c>
      <c r="V210" s="3">
        <f t="shared" si="145"/>
        <v>4100812.133986928</v>
      </c>
      <c r="W210" s="3">
        <f>SUM(W106:W109)</f>
        <v>167188</v>
      </c>
    </row>
    <row r="211" spans="1:28">
      <c r="A211" s="1" t="s">
        <v>24</v>
      </c>
      <c r="B211" s="247">
        <f t="shared" si="129"/>
        <v>2011</v>
      </c>
      <c r="C211" s="3">
        <f>SUM(C111:C114)</f>
        <v>2380224</v>
      </c>
      <c r="D211" s="3">
        <f t="shared" ref="D211:I211" si="146">SUM(D111:D114)</f>
        <v>2302350</v>
      </c>
      <c r="E211" s="3">
        <f t="shared" si="146"/>
        <v>77874</v>
      </c>
      <c r="F211" s="3">
        <f t="shared" si="146"/>
        <v>1724713</v>
      </c>
      <c r="G211" s="3">
        <f t="shared" si="146"/>
        <v>67810</v>
      </c>
      <c r="H211" s="3">
        <f t="shared" si="146"/>
        <v>217675</v>
      </c>
      <c r="I211" s="3">
        <f t="shared" si="146"/>
        <v>370026</v>
      </c>
      <c r="J211" s="185"/>
      <c r="K211" s="185"/>
      <c r="M211" s="185"/>
      <c r="N211" s="185"/>
      <c r="O211" s="247">
        <v>2011</v>
      </c>
      <c r="P211" s="3">
        <f>SUM(P111:P114)</f>
        <v>3449426</v>
      </c>
      <c r="Q211" s="3">
        <f t="shared" ref="Q211:V211" si="147">SUM(Q111:Q114)</f>
        <v>79776.470588235301</v>
      </c>
      <c r="R211" s="3">
        <f t="shared" si="147"/>
        <v>483722.22222222219</v>
      </c>
      <c r="S211" s="3">
        <f t="shared" si="147"/>
        <v>925065</v>
      </c>
      <c r="T211" s="3">
        <f t="shared" si="147"/>
        <v>4937989.6928104572</v>
      </c>
      <c r="U211" s="3">
        <f t="shared" si="147"/>
        <v>0</v>
      </c>
      <c r="V211" s="3">
        <f t="shared" si="147"/>
        <v>4782241.6928104572</v>
      </c>
      <c r="W211" s="3">
        <f>SUM(W111:W114)</f>
        <v>155748</v>
      </c>
    </row>
    <row r="212" spans="1:28">
      <c r="A212" s="1" t="s">
        <v>24</v>
      </c>
      <c r="B212" s="247">
        <f t="shared" si="129"/>
        <v>2012</v>
      </c>
      <c r="C212" s="3">
        <f>SUM(C116:C119)</f>
        <v>2548068</v>
      </c>
      <c r="D212" s="3">
        <f t="shared" ref="D212:I212" si="148">SUM(D116:D119)</f>
        <v>2430222</v>
      </c>
      <c r="E212" s="3">
        <f t="shared" si="148"/>
        <v>117846</v>
      </c>
      <c r="F212" s="3">
        <f t="shared" si="148"/>
        <v>1847978</v>
      </c>
      <c r="G212" s="3">
        <f t="shared" si="148"/>
        <v>74470</v>
      </c>
      <c r="H212" s="3">
        <f t="shared" si="148"/>
        <v>256668</v>
      </c>
      <c r="I212" s="3">
        <f t="shared" si="148"/>
        <v>368952</v>
      </c>
      <c r="J212" s="185"/>
      <c r="K212" s="185"/>
      <c r="M212" s="185"/>
      <c r="N212" s="185"/>
      <c r="O212" s="247">
        <v>2012</v>
      </c>
      <c r="P212" s="3">
        <f>SUM(P116:P119)</f>
        <v>3695956</v>
      </c>
      <c r="Q212" s="3">
        <f t="shared" ref="Q212:V212" si="149">SUM(Q116:Q119)</f>
        <v>87611.76470588235</v>
      </c>
      <c r="R212" s="3">
        <f t="shared" si="149"/>
        <v>570373.33333333326</v>
      </c>
      <c r="S212" s="3">
        <f t="shared" si="149"/>
        <v>922380</v>
      </c>
      <c r="T212" s="3">
        <f t="shared" si="149"/>
        <v>5276321.0980392154</v>
      </c>
      <c r="U212" s="3">
        <f t="shared" si="149"/>
        <v>0</v>
      </c>
      <c r="V212" s="3">
        <f t="shared" si="149"/>
        <v>5040629.0980392154</v>
      </c>
      <c r="W212" s="3">
        <f>SUM(W116:W119)</f>
        <v>235692</v>
      </c>
    </row>
    <row r="213" spans="1:28">
      <c r="A213" s="1" t="s">
        <v>24</v>
      </c>
      <c r="B213" s="247">
        <f t="shared" si="129"/>
        <v>2013</v>
      </c>
      <c r="C213" s="203">
        <f>SUM(C121:C124)</f>
        <v>2585664</v>
      </c>
      <c r="D213" s="203">
        <f t="shared" ref="D213:I213" si="150">SUM(D121:D124)</f>
        <v>2482605</v>
      </c>
      <c r="E213" s="203">
        <f t="shared" si="150"/>
        <v>103059</v>
      </c>
      <c r="F213" s="203">
        <f t="shared" si="150"/>
        <v>1887175</v>
      </c>
      <c r="G213" s="203">
        <f t="shared" si="150"/>
        <v>80984</v>
      </c>
      <c r="H213" s="203">
        <f t="shared" si="150"/>
        <v>264382</v>
      </c>
      <c r="I213" s="203">
        <f t="shared" si="150"/>
        <v>353123</v>
      </c>
      <c r="J213" s="185"/>
      <c r="K213" s="185"/>
      <c r="M213" s="185"/>
      <c r="N213" s="185"/>
      <c r="O213" s="247">
        <v>2013</v>
      </c>
      <c r="P213" s="203">
        <f>SUM(P121:P124)</f>
        <v>3774350</v>
      </c>
      <c r="Q213" s="203">
        <f t="shared" ref="Q213:V213" si="151">SUM(Q121:Q124)</f>
        <v>95275.294117647063</v>
      </c>
      <c r="R213" s="203">
        <f t="shared" si="151"/>
        <v>587515.55555555562</v>
      </c>
      <c r="S213" s="203">
        <f t="shared" si="151"/>
        <v>882807.5</v>
      </c>
      <c r="T213" s="203">
        <f t="shared" si="151"/>
        <v>5339948.3496732023</v>
      </c>
      <c r="U213" s="203">
        <f t="shared" si="151"/>
        <v>0</v>
      </c>
      <c r="V213" s="203">
        <f t="shared" si="151"/>
        <v>5133830.3496732023</v>
      </c>
      <c r="W213" s="203">
        <f>SUM(W121:W124)</f>
        <v>206118</v>
      </c>
    </row>
    <row r="214" spans="1:28">
      <c r="B214" s="247">
        <v>2014</v>
      </c>
      <c r="C214" s="183">
        <f>SUM(C126:C129)</f>
        <v>2935181</v>
      </c>
      <c r="D214" s="183">
        <f t="shared" ref="D214:I214" si="152">SUM(D126:D129)</f>
        <v>2845433</v>
      </c>
      <c r="E214" s="183">
        <f t="shared" si="152"/>
        <v>89748</v>
      </c>
      <c r="F214" s="183">
        <f t="shared" si="152"/>
        <v>2186609</v>
      </c>
      <c r="G214" s="183">
        <f t="shared" si="152"/>
        <v>86491</v>
      </c>
      <c r="H214" s="183">
        <f t="shared" si="152"/>
        <v>246209</v>
      </c>
      <c r="I214" s="183">
        <f t="shared" si="152"/>
        <v>415872</v>
      </c>
      <c r="J214" s="185"/>
      <c r="K214" s="185"/>
      <c r="M214" s="185" t="s">
        <v>24</v>
      </c>
      <c r="N214" s="185"/>
      <c r="O214" s="247">
        <v>2014</v>
      </c>
      <c r="P214" s="183">
        <f>SUM(P126:P129)</f>
        <v>4373218</v>
      </c>
      <c r="Q214" s="183">
        <f t="shared" ref="Q214:V214" si="153">SUM(Q126:Q129)</f>
        <v>101754.11764705883</v>
      </c>
      <c r="R214" s="183">
        <f t="shared" si="153"/>
        <v>547131.11111111112</v>
      </c>
      <c r="S214" s="183">
        <f t="shared" si="153"/>
        <v>1039680</v>
      </c>
      <c r="T214" s="183">
        <f t="shared" si="153"/>
        <v>6061783.2287581693</v>
      </c>
      <c r="U214" s="183">
        <f t="shared" si="153"/>
        <v>0</v>
      </c>
      <c r="V214" s="183">
        <f t="shared" si="153"/>
        <v>5882287.2287581693</v>
      </c>
      <c r="W214" s="183">
        <f>SUM(W126:W129)</f>
        <v>179496</v>
      </c>
    </row>
    <row r="215" spans="1:28">
      <c r="B215" s="247">
        <v>2015</v>
      </c>
      <c r="C215" s="183">
        <f>SUM(C131:C134)</f>
        <v>2613996</v>
      </c>
      <c r="D215" s="183">
        <f t="shared" ref="D215:I215" si="154">SUM(D131:D134)</f>
        <v>2546925</v>
      </c>
      <c r="E215" s="183">
        <f t="shared" si="154"/>
        <v>67071</v>
      </c>
      <c r="F215" s="183">
        <f t="shared" si="154"/>
        <v>1954314</v>
      </c>
      <c r="G215" s="183">
        <f t="shared" si="154"/>
        <v>85332</v>
      </c>
      <c r="H215" s="183">
        <f t="shared" si="154"/>
        <v>207096</v>
      </c>
      <c r="I215" s="183">
        <f t="shared" si="154"/>
        <v>367254</v>
      </c>
      <c r="J215" s="185"/>
      <c r="K215" s="185"/>
      <c r="M215" s="185"/>
      <c r="N215" s="185"/>
      <c r="O215" s="247">
        <v>2015</v>
      </c>
      <c r="P215" s="183">
        <f t="shared" ref="P215:V215" si="155">SUM(P131:P134)</f>
        <v>3908628</v>
      </c>
      <c r="Q215" s="183">
        <f t="shared" si="155"/>
        <v>100390.58823529413</v>
      </c>
      <c r="R215" s="183">
        <f t="shared" si="155"/>
        <v>460213.33333333331</v>
      </c>
      <c r="S215" s="183">
        <f t="shared" si="155"/>
        <v>918135</v>
      </c>
      <c r="T215" s="183">
        <f t="shared" si="155"/>
        <v>5387366.9215686275</v>
      </c>
      <c r="U215" s="183">
        <f t="shared" si="155"/>
        <v>0</v>
      </c>
      <c r="V215" s="183">
        <f t="shared" si="155"/>
        <v>5253224.9215686275</v>
      </c>
      <c r="W215" s="183">
        <f>SUM(W131:W134)</f>
        <v>134142</v>
      </c>
    </row>
    <row r="216" spans="1:28" ht="12.6" thickBot="1">
      <c r="B216" s="247">
        <v>2016</v>
      </c>
      <c r="C216" s="183">
        <f>SUM(C136:C139)</f>
        <v>2455233</v>
      </c>
      <c r="D216" s="183">
        <f t="shared" ref="D216:I216" si="156">SUM(D136:D139)</f>
        <v>2393841</v>
      </c>
      <c r="E216" s="183">
        <f t="shared" si="156"/>
        <v>61392</v>
      </c>
      <c r="F216" s="183">
        <f t="shared" si="156"/>
        <v>1932870</v>
      </c>
      <c r="G216" s="183">
        <f t="shared" si="156"/>
        <v>80836</v>
      </c>
      <c r="H216" s="183">
        <f t="shared" si="156"/>
        <v>142328</v>
      </c>
      <c r="I216" s="183">
        <f t="shared" si="156"/>
        <v>299199</v>
      </c>
      <c r="J216" s="185"/>
      <c r="K216" s="185"/>
      <c r="M216" s="185"/>
      <c r="N216" s="185"/>
      <c r="O216" s="247">
        <v>2016</v>
      </c>
      <c r="P216" s="183">
        <f>SUM(P136:P139)</f>
        <v>3865740</v>
      </c>
      <c r="Q216" s="183">
        <f t="shared" ref="Q216:V216" si="157">SUM(Q136:Q139)</f>
        <v>95101.176470588238</v>
      </c>
      <c r="R216" s="183">
        <f t="shared" si="157"/>
        <v>316284.44444444444</v>
      </c>
      <c r="S216" s="183">
        <f t="shared" si="157"/>
        <v>747997.5</v>
      </c>
      <c r="T216" s="183">
        <f t="shared" si="157"/>
        <v>5025123.1209150329</v>
      </c>
      <c r="U216" s="183">
        <f t="shared" si="157"/>
        <v>0</v>
      </c>
      <c r="V216" s="183">
        <f t="shared" si="157"/>
        <v>4902339.1209150329</v>
      </c>
      <c r="W216" s="183">
        <f>SUM(W136:W139)</f>
        <v>122784</v>
      </c>
    </row>
    <row r="217" spans="1:28" ht="12.6" thickBot="1">
      <c r="A217" s="273"/>
      <c r="B217" s="247">
        <v>2017</v>
      </c>
      <c r="C217" s="183">
        <f>SUM(C141:C144)</f>
        <v>2753299</v>
      </c>
      <c r="D217" s="183">
        <f t="shared" ref="D217:I217" si="158">SUM(D141:D144)</f>
        <v>2707320</v>
      </c>
      <c r="E217" s="183">
        <f t="shared" si="158"/>
        <v>45979</v>
      </c>
      <c r="F217" s="183">
        <f t="shared" si="158"/>
        <v>2151899</v>
      </c>
      <c r="G217" s="183">
        <f t="shared" si="158"/>
        <v>86407</v>
      </c>
      <c r="H217" s="183">
        <f t="shared" si="158"/>
        <v>165770</v>
      </c>
      <c r="I217" s="183">
        <f t="shared" si="158"/>
        <v>349223</v>
      </c>
      <c r="J217" s="185"/>
      <c r="K217" s="185"/>
      <c r="M217" s="185"/>
      <c r="N217" s="185"/>
      <c r="O217" s="247">
        <v>2017</v>
      </c>
      <c r="P217" s="183">
        <f t="shared" ref="P217:W217" si="159">SUM(P141:P144)</f>
        <v>4303798</v>
      </c>
      <c r="Q217" s="183">
        <f t="shared" si="159"/>
        <v>101655.29411764708</v>
      </c>
      <c r="R217" s="183">
        <f t="shared" si="159"/>
        <v>368377.77777777775</v>
      </c>
      <c r="S217" s="183">
        <f t="shared" si="159"/>
        <v>873057.5</v>
      </c>
      <c r="T217" s="183">
        <f t="shared" si="159"/>
        <v>5646888.5718954243</v>
      </c>
      <c r="U217" s="183">
        <f t="shared" si="159"/>
        <v>0</v>
      </c>
      <c r="V217" s="183">
        <f t="shared" si="159"/>
        <v>5554930.5718954243</v>
      </c>
      <c r="W217" s="183">
        <f t="shared" si="159"/>
        <v>91958</v>
      </c>
    </row>
    <row r="218" spans="1:28" ht="12.6" thickBot="1">
      <c r="A218" s="273"/>
      <c r="B218" s="247">
        <v>2018</v>
      </c>
      <c r="C218" s="183">
        <f>SUM(C146:C149)</f>
        <v>3016423</v>
      </c>
      <c r="D218" s="183">
        <f t="shared" ref="D218:I218" si="160">SUM(D146:D149)</f>
        <v>2956194</v>
      </c>
      <c r="E218" s="183">
        <f t="shared" si="160"/>
        <v>60229</v>
      </c>
      <c r="F218" s="183">
        <f t="shared" si="160"/>
        <v>2373439</v>
      </c>
      <c r="G218" s="183">
        <f t="shared" si="160"/>
        <v>84613</v>
      </c>
      <c r="H218" s="183">
        <f t="shared" si="160"/>
        <v>176970</v>
      </c>
      <c r="I218" s="183">
        <f t="shared" si="160"/>
        <v>381401</v>
      </c>
      <c r="J218" s="185"/>
      <c r="K218" s="185"/>
      <c r="M218" s="185"/>
      <c r="N218" s="185"/>
      <c r="O218" s="247">
        <v>2018</v>
      </c>
      <c r="P218" s="183">
        <f>SUM(P146:P149)</f>
        <v>4746878</v>
      </c>
      <c r="Q218" s="183">
        <f t="shared" ref="Q218:W218" si="161">SUM(Q146:Q149)</f>
        <v>99544.705882352951</v>
      </c>
      <c r="R218" s="183">
        <f t="shared" si="161"/>
        <v>393266.66666666669</v>
      </c>
      <c r="S218" s="183">
        <f t="shared" si="161"/>
        <v>953502.5</v>
      </c>
      <c r="T218" s="183">
        <f t="shared" si="161"/>
        <v>6193191.8725490198</v>
      </c>
      <c r="U218" s="183">
        <f t="shared" si="161"/>
        <v>0</v>
      </c>
      <c r="V218" s="183">
        <f t="shared" si="161"/>
        <v>6072733.8725490198</v>
      </c>
      <c r="W218" s="183">
        <f t="shared" si="161"/>
        <v>120458</v>
      </c>
    </row>
    <row r="219" spans="1:28">
      <c r="A219" s="274"/>
      <c r="B219" s="247">
        <v>2019</v>
      </c>
      <c r="C219" s="183">
        <f>SUM(C151:C154)</f>
        <v>2600062</v>
      </c>
      <c r="D219" s="183">
        <f t="shared" ref="D219:I219" si="162">SUM(D151:D154)</f>
        <v>2563441</v>
      </c>
      <c r="E219" s="183">
        <f t="shared" si="162"/>
        <v>36621</v>
      </c>
      <c r="F219" s="183">
        <f t="shared" si="162"/>
        <v>2003305</v>
      </c>
      <c r="G219" s="183">
        <f t="shared" si="162"/>
        <v>75851</v>
      </c>
      <c r="H219" s="183">
        <f t="shared" si="162"/>
        <v>184460</v>
      </c>
      <c r="I219" s="183">
        <f t="shared" si="162"/>
        <v>336446</v>
      </c>
      <c r="J219" s="185"/>
      <c r="K219" s="185"/>
      <c r="M219" s="185"/>
      <c r="N219" s="185"/>
      <c r="O219" s="247">
        <v>2019</v>
      </c>
      <c r="P219" s="183">
        <f>SUM(P151:P154)</f>
        <v>4006610</v>
      </c>
      <c r="Q219" s="183">
        <f t="shared" ref="Q219:W220" si="163">SUM(Q151:Q154)</f>
        <v>89236.470588235301</v>
      </c>
      <c r="R219" s="183">
        <f t="shared" si="163"/>
        <v>409911.11111111112</v>
      </c>
      <c r="S219" s="183">
        <f t="shared" si="163"/>
        <v>841115</v>
      </c>
      <c r="T219" s="183">
        <f t="shared" si="163"/>
        <v>5346872.5816993471</v>
      </c>
      <c r="U219" s="183">
        <f t="shared" si="163"/>
        <v>0</v>
      </c>
      <c r="V219" s="183">
        <f t="shared" si="163"/>
        <v>5273630.5816993471</v>
      </c>
      <c r="W219" s="183">
        <f t="shared" si="163"/>
        <v>73242</v>
      </c>
    </row>
    <row r="220" spans="1:28">
      <c r="A220" s="274"/>
      <c r="B220" s="247">
        <v>2020</v>
      </c>
      <c r="C220" s="183">
        <f>SUM(C156:C159)</f>
        <v>2793869</v>
      </c>
      <c r="D220" s="183">
        <f t="shared" ref="D220:I220" si="164">SUM(D156:D159)</f>
        <v>2749584</v>
      </c>
      <c r="E220" s="183">
        <f t="shared" si="164"/>
        <v>44285</v>
      </c>
      <c r="F220" s="183">
        <f t="shared" si="164"/>
        <v>2212523</v>
      </c>
      <c r="G220" s="183">
        <f t="shared" si="164"/>
        <v>72527</v>
      </c>
      <c r="H220" s="183">
        <f t="shared" si="164"/>
        <v>156893</v>
      </c>
      <c r="I220" s="183">
        <f t="shared" si="164"/>
        <v>351926</v>
      </c>
      <c r="J220" s="185"/>
      <c r="K220" s="185"/>
      <c r="M220" s="185"/>
      <c r="N220" s="185"/>
      <c r="O220" s="247">
        <v>2020</v>
      </c>
      <c r="P220" s="183">
        <f>SUM(P156:P159)</f>
        <v>4425046</v>
      </c>
      <c r="Q220" s="183">
        <f t="shared" ref="Q220:W220" si="165">SUM(Q156:Q159)</f>
        <v>85325.882352941175</v>
      </c>
      <c r="R220" s="183">
        <f t="shared" si="165"/>
        <v>348651.11111111112</v>
      </c>
      <c r="S220" s="183">
        <f t="shared" si="165"/>
        <v>879815</v>
      </c>
      <c r="T220" s="183">
        <f t="shared" si="165"/>
        <v>5738837.9934640517</v>
      </c>
      <c r="U220" s="183">
        <f t="shared" si="165"/>
        <v>0</v>
      </c>
      <c r="V220" s="183">
        <f t="shared" si="165"/>
        <v>5650267.9934640517</v>
      </c>
      <c r="W220" s="183">
        <f t="shared" si="165"/>
        <v>88570</v>
      </c>
    </row>
    <row r="221" spans="1:28" s="282" customFormat="1">
      <c r="A221" s="274"/>
      <c r="B221" s="276"/>
      <c r="C221" s="203"/>
      <c r="D221" s="203"/>
      <c r="E221" s="203"/>
      <c r="F221" s="203"/>
      <c r="G221" s="203"/>
      <c r="H221" s="203"/>
      <c r="I221" s="203"/>
      <c r="J221" s="277"/>
      <c r="K221" s="277"/>
      <c r="L221" s="278"/>
      <c r="M221" s="277"/>
      <c r="N221" s="277"/>
      <c r="O221" s="276"/>
      <c r="P221" s="203"/>
      <c r="Q221" s="203"/>
      <c r="R221" s="203"/>
      <c r="S221" s="203"/>
      <c r="T221" s="203"/>
      <c r="U221" s="203"/>
      <c r="V221" s="203"/>
      <c r="W221" s="203"/>
      <c r="X221" s="279"/>
      <c r="Y221" s="280"/>
      <c r="Z221" s="280"/>
      <c r="AA221" s="280"/>
      <c r="AB221" s="281"/>
    </row>
    <row r="222" spans="1:28">
      <c r="B222" s="247"/>
      <c r="C222" s="181">
        <f t="shared" ref="C222:I222" si="166">C218/C217</f>
        <v>1.0955668091260702</v>
      </c>
      <c r="D222" s="181">
        <f t="shared" si="166"/>
        <v>1.091926333052613</v>
      </c>
      <c r="E222" s="181">
        <f t="shared" si="166"/>
        <v>1.3099240957828573</v>
      </c>
      <c r="F222" s="181">
        <f t="shared" si="166"/>
        <v>1.1029509284590029</v>
      </c>
      <c r="G222" s="181">
        <f t="shared" si="166"/>
        <v>0.97923779323434446</v>
      </c>
      <c r="H222" s="181">
        <f t="shared" si="166"/>
        <v>1.0675634915847259</v>
      </c>
      <c r="I222" s="181">
        <f t="shared" si="166"/>
        <v>1.0921416974254272</v>
      </c>
      <c r="J222" s="185"/>
      <c r="K222" s="185"/>
      <c r="M222" s="185"/>
      <c r="N222" s="185"/>
    </row>
    <row r="223" spans="1:28">
      <c r="B223" s="247"/>
      <c r="E223" s="248"/>
      <c r="J223" s="185"/>
      <c r="K223" s="185"/>
      <c r="M223" s="185"/>
      <c r="N223" s="185"/>
    </row>
    <row r="224" spans="1:28">
      <c r="B224" s="247"/>
      <c r="E224" s="248"/>
      <c r="J224" s="185"/>
      <c r="K224" s="185"/>
      <c r="M224" s="185"/>
      <c r="N224" s="185"/>
    </row>
    <row r="225" s="114" customFormat="1" ht="15"/>
    <row r="226" s="114" customFormat="1" ht="15"/>
    <row r="227" s="114" customFormat="1" ht="15"/>
    <row r="228" s="114" customFormat="1" ht="15"/>
    <row r="229" s="114" customFormat="1" ht="15"/>
    <row r="230" s="114" customFormat="1" ht="15"/>
    <row r="231" s="114" customFormat="1" ht="15"/>
    <row r="232" s="114" customFormat="1" ht="15"/>
    <row r="233" s="114" customFormat="1" ht="15"/>
    <row r="234" s="114" customFormat="1" ht="15"/>
    <row r="235" s="114" customFormat="1" ht="15"/>
    <row r="236" s="114" customFormat="1" ht="15"/>
    <row r="237" s="114" customFormat="1" ht="15"/>
    <row r="238" s="114" customFormat="1" ht="15"/>
    <row r="239" s="114" customFormat="1" ht="15"/>
    <row r="240" s="114" customFormat="1" ht="15"/>
    <row r="241" s="114" customFormat="1" ht="15"/>
    <row r="242" s="114" customFormat="1" ht="15"/>
    <row r="243" s="114" customFormat="1" ht="15"/>
    <row r="244" s="114" customFormat="1" ht="15"/>
    <row r="245" s="114" customFormat="1" ht="15"/>
    <row r="246" s="114" customFormat="1" ht="15"/>
    <row r="247" s="114" customFormat="1" ht="15"/>
    <row r="248" s="114" customFormat="1" ht="15"/>
    <row r="249" s="114" customFormat="1" ht="15"/>
    <row r="250" s="114" customFormat="1" ht="15"/>
    <row r="251" s="114" customFormat="1" ht="15"/>
    <row r="252" s="114" customFormat="1" ht="15"/>
    <row r="253" s="114" customFormat="1" ht="15"/>
    <row r="254" s="114" customFormat="1" ht="15"/>
    <row r="255" s="114" customFormat="1" ht="15"/>
    <row r="256" s="114" customFormat="1" ht="15"/>
    <row r="257" s="114" customFormat="1" ht="15"/>
    <row r="258" s="114" customFormat="1" ht="15"/>
    <row r="259" s="114" customFormat="1" ht="15"/>
    <row r="260" s="114" customFormat="1" ht="15"/>
    <row r="261" s="114" customFormat="1" ht="15"/>
    <row r="262" s="114" customFormat="1" ht="15"/>
    <row r="263" s="114" customFormat="1" ht="15"/>
    <row r="264" s="114" customFormat="1" ht="15"/>
    <row r="265" s="114" customFormat="1" ht="15"/>
    <row r="266" s="114" customFormat="1" ht="15"/>
    <row r="267" s="114" customFormat="1" ht="15"/>
    <row r="268" s="114" customFormat="1" ht="15"/>
    <row r="269" s="114" customFormat="1" ht="15"/>
    <row r="270" s="114" customFormat="1" ht="15"/>
    <row r="271" s="114" customFormat="1" ht="15"/>
    <row r="272" s="114" customFormat="1" ht="15"/>
    <row r="273" s="114" customFormat="1" ht="15"/>
    <row r="274" s="114" customFormat="1" ht="15"/>
    <row r="275" s="114" customFormat="1" ht="15"/>
    <row r="276" s="114" customFormat="1" ht="15"/>
    <row r="277" s="114" customFormat="1" ht="15"/>
    <row r="278" s="114" customFormat="1" ht="15"/>
    <row r="279" s="114" customFormat="1" ht="15"/>
    <row r="280" s="114" customFormat="1" ht="15"/>
    <row r="281" s="114" customFormat="1" ht="15"/>
    <row r="282" s="114" customFormat="1" ht="15"/>
    <row r="283" s="114" customFormat="1" ht="15"/>
    <row r="284" s="114" customFormat="1" ht="15"/>
    <row r="285" s="114" customFormat="1" ht="15"/>
    <row r="286" s="114" customFormat="1" ht="15"/>
    <row r="287" s="114" customFormat="1" ht="15"/>
    <row r="288" s="114" customFormat="1" ht="15"/>
    <row r="289" s="114" customFormat="1" ht="15"/>
    <row r="290" s="114" customFormat="1" ht="15"/>
    <row r="291" s="114" customFormat="1" ht="15"/>
    <row r="292" s="114" customFormat="1" ht="15"/>
    <row r="293" s="114" customFormat="1" ht="15"/>
    <row r="294" s="114" customFormat="1" ht="15"/>
    <row r="295" s="114" customFormat="1" ht="15"/>
    <row r="296" s="114" customFormat="1" ht="15"/>
    <row r="297" s="114" customFormat="1" ht="15"/>
    <row r="298" s="114" customFormat="1" ht="15"/>
    <row r="299" s="114" customFormat="1" ht="15"/>
    <row r="300" s="114" customFormat="1" ht="15"/>
    <row r="301" s="114" customFormat="1" ht="15"/>
    <row r="302" s="114" customFormat="1" ht="15"/>
    <row r="303" s="114" customFormat="1" ht="15"/>
    <row r="304" s="114" customFormat="1" ht="15"/>
    <row r="305" s="114" customFormat="1" ht="15"/>
    <row r="306" s="114" customFormat="1" ht="15"/>
    <row r="307" s="114" customFormat="1" ht="15"/>
    <row r="308" s="114" customFormat="1" ht="15"/>
    <row r="309" s="114" customFormat="1" ht="15"/>
    <row r="310" s="114" customFormat="1" ht="15"/>
    <row r="311" s="114" customFormat="1" ht="15"/>
    <row r="312" s="114" customFormat="1" ht="15"/>
    <row r="313" s="114" customFormat="1" ht="15"/>
    <row r="314" s="114" customFormat="1" ht="15"/>
    <row r="315" s="114" customFormat="1" ht="15"/>
    <row r="316" s="114" customFormat="1" ht="15"/>
    <row r="317" s="114" customFormat="1" ht="15"/>
    <row r="318" s="114" customFormat="1" ht="15"/>
    <row r="319" s="114" customFormat="1" ht="15"/>
    <row r="320" s="114" customFormat="1" ht="15"/>
    <row r="321" s="114" customFormat="1" ht="15"/>
    <row r="322" s="114" customFormat="1" ht="15"/>
    <row r="323" s="114" customFormat="1" ht="15"/>
  </sheetData>
  <mergeCells count="3">
    <mergeCell ref="X3:AB3"/>
    <mergeCell ref="J3:O3"/>
    <mergeCell ref="P3:W3"/>
  </mergeCells>
  <phoneticPr fontId="0" type="noConversion"/>
  <printOptions gridLines="1" gridLinesSet="0"/>
  <pageMargins left="1.48" right="0.25" top="0.94" bottom="0.24" header="0.17" footer="0.23622047244094491"/>
  <pageSetup paperSize="9" scale="75" orientation="landscape" horizontalDpi="300" verticalDpi="300" r:id="rId1"/>
  <headerFooter alignWithMargins="0">
    <oddFooter>&amp;LKöln, 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35" sqref="Q35"/>
    </sheetView>
  </sheetViews>
  <sheetFormatPr baseColWidth="10" defaultColWidth="14.88671875" defaultRowHeight="15"/>
  <cols>
    <col min="1" max="1" width="10.44140625" style="114" customWidth="1"/>
    <col min="2" max="2" width="13.5546875" style="114" customWidth="1"/>
    <col min="3" max="3" width="13.109375" style="114" customWidth="1"/>
    <col min="4" max="4" width="12.33203125" style="114" customWidth="1"/>
    <col min="5" max="5" width="13.88671875" style="114" customWidth="1"/>
    <col min="6" max="6" width="13.109375" style="114" customWidth="1"/>
    <col min="7" max="7" width="12.6640625" style="114" customWidth="1"/>
    <col min="8" max="8" width="12" style="114" customWidth="1"/>
    <col min="9" max="9" width="11.33203125" style="114" customWidth="1"/>
    <col min="10" max="10" width="9.33203125" style="114" customWidth="1"/>
    <col min="11" max="11" width="7.6640625" style="114" customWidth="1"/>
    <col min="12" max="12" width="10.33203125" style="114" customWidth="1"/>
    <col min="13" max="13" width="8.33203125" style="114" customWidth="1"/>
    <col min="14" max="14" width="14.88671875" style="114"/>
    <col min="15" max="15" width="16.6640625" style="114" customWidth="1"/>
    <col min="16" max="16384" width="14.88671875" style="114"/>
  </cols>
  <sheetData>
    <row r="1" spans="1:15" s="107" customFormat="1" ht="20.7" thickTop="1" thickBot="1">
      <c r="A1" s="98" t="s">
        <v>32</v>
      </c>
      <c r="B1" s="99"/>
      <c r="C1" s="100"/>
      <c r="D1" s="101"/>
      <c r="E1" s="102"/>
      <c r="F1" s="103"/>
      <c r="G1" s="103"/>
      <c r="H1" s="103"/>
      <c r="I1" s="149"/>
      <c r="J1" s="104"/>
      <c r="K1" s="106"/>
      <c r="L1" s="105"/>
      <c r="M1" s="133"/>
    </row>
    <row r="2" spans="1:15" ht="15.6" thickTop="1" thickBot="1">
      <c r="A2" s="108" t="s">
        <v>22</v>
      </c>
      <c r="B2" s="109"/>
      <c r="C2" s="110"/>
      <c r="D2" s="111"/>
      <c r="E2" s="113" t="s">
        <v>33</v>
      </c>
      <c r="F2" s="112"/>
      <c r="H2" s="111"/>
      <c r="I2" s="148"/>
      <c r="J2" s="314" t="s">
        <v>18</v>
      </c>
      <c r="K2" s="315"/>
      <c r="L2" s="315"/>
      <c r="M2" s="316"/>
    </row>
    <row r="3" spans="1:15" s="123" customFormat="1" ht="24.6" customHeight="1" thickTop="1">
      <c r="A3" s="115"/>
      <c r="B3" s="116" t="s">
        <v>6</v>
      </c>
      <c r="C3" s="117" t="s">
        <v>1</v>
      </c>
      <c r="D3" s="118" t="s">
        <v>26</v>
      </c>
      <c r="E3" s="119" t="s">
        <v>0</v>
      </c>
      <c r="F3" s="119" t="s">
        <v>23</v>
      </c>
      <c r="G3" s="119" t="s">
        <v>4</v>
      </c>
      <c r="H3" s="120" t="s">
        <v>5</v>
      </c>
      <c r="I3" s="121" t="s">
        <v>0</v>
      </c>
      <c r="J3" s="121" t="s">
        <v>25</v>
      </c>
      <c r="K3" s="121" t="s">
        <v>15</v>
      </c>
      <c r="L3" s="121" t="s">
        <v>5</v>
      </c>
      <c r="M3" s="122" t="s">
        <v>16</v>
      </c>
      <c r="N3" s="121" t="s">
        <v>20</v>
      </c>
      <c r="O3" s="238" t="s">
        <v>26</v>
      </c>
    </row>
    <row r="4" spans="1:15" s="132" customFormat="1" ht="14.4" thickBot="1">
      <c r="A4" s="124"/>
      <c r="B4" s="125" t="s">
        <v>7</v>
      </c>
      <c r="C4" s="126" t="s">
        <v>7</v>
      </c>
      <c r="D4" s="127" t="s">
        <v>7</v>
      </c>
      <c r="E4" s="128" t="s">
        <v>7</v>
      </c>
      <c r="F4" s="128" t="s">
        <v>7</v>
      </c>
      <c r="G4" s="128" t="s">
        <v>7</v>
      </c>
      <c r="H4" s="129" t="s">
        <v>7</v>
      </c>
      <c r="I4" s="130" t="s">
        <v>13</v>
      </c>
      <c r="J4" s="130" t="s">
        <v>13</v>
      </c>
      <c r="K4" s="130" t="s">
        <v>13</v>
      </c>
      <c r="L4" s="130" t="s">
        <v>13</v>
      </c>
      <c r="M4" s="131"/>
      <c r="N4" s="130" t="s">
        <v>13</v>
      </c>
      <c r="O4" s="239" t="s">
        <v>35</v>
      </c>
    </row>
    <row r="5" spans="1:15" s="142" customFormat="1" ht="15.3" thickTop="1">
      <c r="A5" s="134">
        <v>1990</v>
      </c>
      <c r="B5" s="135">
        <v>1520849</v>
      </c>
      <c r="C5" s="136">
        <v>1338199</v>
      </c>
      <c r="D5" s="137">
        <v>182650</v>
      </c>
      <c r="E5" s="138">
        <v>914684</v>
      </c>
      <c r="F5" s="138">
        <v>207252</v>
      </c>
      <c r="G5" s="138">
        <v>200727</v>
      </c>
      <c r="H5" s="139">
        <v>198186</v>
      </c>
      <c r="I5" s="140">
        <v>60.142985924309379</v>
      </c>
      <c r="J5" s="140">
        <v>13.627388386355252</v>
      </c>
      <c r="K5" s="140">
        <v>13.198351710130328</v>
      </c>
      <c r="L5" s="140">
        <v>13.031273979205036</v>
      </c>
      <c r="M5" s="141">
        <v>12.009739296932175</v>
      </c>
      <c r="N5" s="140">
        <v>73.770374310664636</v>
      </c>
      <c r="O5" s="240">
        <f>D5*1.785</f>
        <v>326030.25</v>
      </c>
    </row>
    <row r="6" spans="1:15" s="142" customFormat="1">
      <c r="A6" s="134">
        <v>1991</v>
      </c>
      <c r="B6" s="135">
        <v>1541058</v>
      </c>
      <c r="C6" s="136">
        <v>1295517</v>
      </c>
      <c r="D6" s="137">
        <v>245541</v>
      </c>
      <c r="E6" s="138">
        <v>1003152</v>
      </c>
      <c r="F6" s="138">
        <v>175944</v>
      </c>
      <c r="G6" s="138">
        <v>194068</v>
      </c>
      <c r="H6" s="139">
        <v>167894</v>
      </c>
      <c r="I6" s="140">
        <v>65.095019136203831</v>
      </c>
      <c r="J6" s="140">
        <v>11.417091374886605</v>
      </c>
      <c r="K6" s="140">
        <v>12.59316651287622</v>
      </c>
      <c r="L6" s="140">
        <v>10.894722976033348</v>
      </c>
      <c r="M6" s="243">
        <v>15.933274412773562</v>
      </c>
      <c r="N6" s="140">
        <v>76.512110511090441</v>
      </c>
      <c r="O6" s="240">
        <f t="shared" ref="O6:O31" si="0">D6*1.785</f>
        <v>438290.685</v>
      </c>
    </row>
    <row r="7" spans="1:15" s="142" customFormat="1">
      <c r="A7" s="134">
        <v>1992</v>
      </c>
      <c r="B7" s="135">
        <v>1420029</v>
      </c>
      <c r="C7" s="136">
        <v>1181919</v>
      </c>
      <c r="D7" s="137">
        <v>238110</v>
      </c>
      <c r="E7" s="138">
        <v>935244</v>
      </c>
      <c r="F7" s="138">
        <v>142232</v>
      </c>
      <c r="G7" s="138">
        <v>141731</v>
      </c>
      <c r="H7" s="139">
        <v>200822</v>
      </c>
      <c r="I7" s="140">
        <v>65.860908474404397</v>
      </c>
      <c r="J7" s="140">
        <v>10.016133473330473</v>
      </c>
      <c r="K7" s="140">
        <v>9.9808525037164735</v>
      </c>
      <c r="L7" s="140">
        <v>14.142105548548656</v>
      </c>
      <c r="M7" s="243">
        <v>16.767967414749979</v>
      </c>
      <c r="N7" s="140">
        <v>75.877041947734867</v>
      </c>
      <c r="O7" s="240">
        <f t="shared" si="0"/>
        <v>425026.35</v>
      </c>
    </row>
    <row r="8" spans="1:15" s="142" customFormat="1">
      <c r="A8" s="143">
        <v>1993</v>
      </c>
      <c r="B8" s="135">
        <v>1604517</v>
      </c>
      <c r="C8" s="136">
        <v>1397443</v>
      </c>
      <c r="D8" s="137">
        <v>207074</v>
      </c>
      <c r="E8" s="138">
        <v>1092348</v>
      </c>
      <c r="F8" s="138">
        <v>134028</v>
      </c>
      <c r="G8" s="138">
        <v>145096</v>
      </c>
      <c r="H8" s="139">
        <v>233045</v>
      </c>
      <c r="I8" s="140">
        <v>68.079552912184795</v>
      </c>
      <c r="J8" s="140">
        <v>8.3531679626953146</v>
      </c>
      <c r="K8" s="140">
        <v>9.0429705637272768</v>
      </c>
      <c r="L8" s="140">
        <v>14.524308561392619</v>
      </c>
      <c r="M8" s="243">
        <v>12.905690622162307</v>
      </c>
      <c r="N8" s="140">
        <v>76.432720874880104</v>
      </c>
      <c r="O8" s="240">
        <f t="shared" si="0"/>
        <v>369627.08999999997</v>
      </c>
    </row>
    <row r="9" spans="1:15" s="142" customFormat="1">
      <c r="A9" s="134">
        <v>1994</v>
      </c>
      <c r="B9" s="135">
        <v>1725642</v>
      </c>
      <c r="C9" s="136">
        <v>1493134</v>
      </c>
      <c r="D9" s="137">
        <v>232508</v>
      </c>
      <c r="E9" s="138">
        <v>1282247</v>
      </c>
      <c r="F9" s="138">
        <v>130195</v>
      </c>
      <c r="G9" s="138">
        <v>127368</v>
      </c>
      <c r="H9" s="139">
        <v>185832</v>
      </c>
      <c r="I9" s="140">
        <v>74.305504849789244</v>
      </c>
      <c r="J9" s="140">
        <v>7.5447282808369289</v>
      </c>
      <c r="K9" s="140">
        <v>7.3809051935453587</v>
      </c>
      <c r="L9" s="140">
        <v>10.768861675828473</v>
      </c>
      <c r="M9" s="243">
        <v>13.473710074279602</v>
      </c>
      <c r="N9" s="140">
        <v>81.850233130626179</v>
      </c>
      <c r="O9" s="240">
        <f t="shared" si="0"/>
        <v>415026.77999999997</v>
      </c>
    </row>
    <row r="10" spans="1:15" s="142" customFormat="1">
      <c r="A10" s="134">
        <v>1995</v>
      </c>
      <c r="B10" s="135">
        <v>1784176</v>
      </c>
      <c r="C10" s="136">
        <v>1561914</v>
      </c>
      <c r="D10" s="137">
        <v>222262</v>
      </c>
      <c r="E10" s="138">
        <v>1326057</v>
      </c>
      <c r="F10" s="138">
        <v>126669</v>
      </c>
      <c r="G10" s="138">
        <v>143400</v>
      </c>
      <c r="H10" s="139">
        <v>188050</v>
      </c>
      <c r="I10" s="140">
        <v>74.32321699204563</v>
      </c>
      <c r="J10" s="140">
        <v>7.0995798620763866</v>
      </c>
      <c r="K10" s="140">
        <v>8.0373236721040975</v>
      </c>
      <c r="L10" s="140">
        <v>10.539879473773887</v>
      </c>
      <c r="M10" s="243">
        <v>12.457403305503494</v>
      </c>
      <c r="N10" s="140">
        <v>81.422796854122012</v>
      </c>
      <c r="O10" s="240">
        <f t="shared" si="0"/>
        <v>396737.67</v>
      </c>
    </row>
    <row r="11" spans="1:15" s="142" customFormat="1">
      <c r="A11" s="134">
        <v>1996</v>
      </c>
      <c r="B11" s="135">
        <v>1894366</v>
      </c>
      <c r="C11" s="136">
        <v>1655904</v>
      </c>
      <c r="D11" s="137">
        <v>238462</v>
      </c>
      <c r="E11" s="138">
        <v>1333279</v>
      </c>
      <c r="F11" s="138">
        <v>114464</v>
      </c>
      <c r="G11" s="138">
        <v>142420</v>
      </c>
      <c r="H11" s="139">
        <v>304203</v>
      </c>
      <c r="I11" s="140">
        <v>70.38127795790254</v>
      </c>
      <c r="J11" s="140">
        <v>6.0423381754106646</v>
      </c>
      <c r="K11" s="140">
        <v>7.518082566937963</v>
      </c>
      <c r="L11" s="140">
        <v>16.058301299748834</v>
      </c>
      <c r="M11" s="243">
        <v>12.587958187594161</v>
      </c>
      <c r="N11" s="140">
        <v>76.423616133313203</v>
      </c>
      <c r="O11" s="240">
        <f t="shared" si="0"/>
        <v>425654.67</v>
      </c>
    </row>
    <row r="12" spans="1:15" s="144" customFormat="1">
      <c r="A12" s="134">
        <v>1997</v>
      </c>
      <c r="B12" s="135">
        <v>2095006</v>
      </c>
      <c r="C12" s="136">
        <v>1905243</v>
      </c>
      <c r="D12" s="137">
        <v>189763</v>
      </c>
      <c r="E12" s="138">
        <v>1515230</v>
      </c>
      <c r="F12" s="138">
        <v>143778</v>
      </c>
      <c r="G12" s="138">
        <v>162990</v>
      </c>
      <c r="H12" s="139">
        <v>273008</v>
      </c>
      <c r="I12" s="140">
        <v>72.32580718145914</v>
      </c>
      <c r="J12" s="140">
        <v>6.8628920394500064</v>
      </c>
      <c r="K12" s="140">
        <v>7.7799299858807087</v>
      </c>
      <c r="L12" s="140">
        <v>13.03137079321014</v>
      </c>
      <c r="M12" s="141">
        <v>9.0578738199317801</v>
      </c>
      <c r="N12" s="140">
        <v>79.188699220909143</v>
      </c>
      <c r="O12" s="240">
        <f t="shared" si="0"/>
        <v>338726.95499999996</v>
      </c>
    </row>
    <row r="13" spans="1:15" s="144" customFormat="1">
      <c r="A13" s="134">
        <v>1998</v>
      </c>
      <c r="B13" s="135">
        <v>2006930</v>
      </c>
      <c r="C13" s="136">
        <v>1814544</v>
      </c>
      <c r="D13" s="137">
        <v>192386</v>
      </c>
      <c r="E13" s="138">
        <v>1430110</v>
      </c>
      <c r="F13" s="138">
        <v>116160</v>
      </c>
      <c r="G13" s="138">
        <v>137954</v>
      </c>
      <c r="H13" s="139">
        <v>322706</v>
      </c>
      <c r="I13" s="140">
        <v>71.258588989152585</v>
      </c>
      <c r="J13" s="140">
        <v>5.7879447713672132</v>
      </c>
      <c r="K13" s="140">
        <v>6.8738819988739017</v>
      </c>
      <c r="L13" s="140">
        <v>16.079584240606298</v>
      </c>
      <c r="M13" s="141">
        <v>9.5860842181839914</v>
      </c>
      <c r="N13" s="140">
        <v>77.046533760519793</v>
      </c>
      <c r="O13" s="240">
        <f t="shared" si="0"/>
        <v>343409.01</v>
      </c>
    </row>
    <row r="14" spans="1:15" s="144" customFormat="1">
      <c r="A14" s="134">
        <v>1999</v>
      </c>
      <c r="B14" s="135">
        <v>2191165</v>
      </c>
      <c r="C14" s="136">
        <v>2000809</v>
      </c>
      <c r="D14" s="137">
        <v>190356</v>
      </c>
      <c r="E14" s="138">
        <v>1548256</v>
      </c>
      <c r="F14" s="138">
        <v>123604</v>
      </c>
      <c r="G14" s="138">
        <v>161813</v>
      </c>
      <c r="H14" s="139">
        <v>357492</v>
      </c>
      <c r="I14" s="140">
        <v>70.65903298017264</v>
      </c>
      <c r="J14" s="140">
        <v>5.6410174496215486</v>
      </c>
      <c r="K14" s="140">
        <v>7.3847930210641373</v>
      </c>
      <c r="L14" s="140">
        <v>16.315156549141665</v>
      </c>
      <c r="M14" s="141">
        <v>8.6874333973023479</v>
      </c>
      <c r="N14" s="140">
        <v>76.300050429794183</v>
      </c>
      <c r="O14" s="240">
        <f t="shared" si="0"/>
        <v>339785.45999999996</v>
      </c>
    </row>
    <row r="15" spans="1:15" s="144" customFormat="1">
      <c r="A15" s="134">
        <v>2000</v>
      </c>
      <c r="B15" s="135">
        <v>2274786</v>
      </c>
      <c r="C15" s="136">
        <v>2089442</v>
      </c>
      <c r="D15" s="137">
        <v>185344</v>
      </c>
      <c r="E15" s="138">
        <v>1624700</v>
      </c>
      <c r="F15" s="138">
        <v>126303</v>
      </c>
      <c r="G15" s="138">
        <v>153884</v>
      </c>
      <c r="H15" s="139">
        <v>369899</v>
      </c>
      <c r="I15" s="140">
        <v>71.422103002216474</v>
      </c>
      <c r="J15" s="140">
        <v>5.5523025023013153</v>
      </c>
      <c r="K15" s="140">
        <v>6.7647682023715641</v>
      </c>
      <c r="L15" s="140">
        <v>16.260826293110647</v>
      </c>
      <c r="M15" s="141">
        <v>8.1477554372147534</v>
      </c>
      <c r="N15" s="140">
        <v>76.97440550451779</v>
      </c>
      <c r="O15" s="240">
        <f t="shared" si="0"/>
        <v>330839.03999999998</v>
      </c>
    </row>
    <row r="16" spans="1:15" s="144" customFormat="1">
      <c r="A16" s="134">
        <v>2001</v>
      </c>
      <c r="B16" s="135">
        <v>2279123</v>
      </c>
      <c r="C16" s="136">
        <v>2102681</v>
      </c>
      <c r="D16" s="137">
        <v>176442</v>
      </c>
      <c r="E16" s="138">
        <v>1642798</v>
      </c>
      <c r="F16" s="138">
        <v>113951</v>
      </c>
      <c r="G16" s="138">
        <v>155133</v>
      </c>
      <c r="H16" s="139">
        <v>367241</v>
      </c>
      <c r="I16" s="140">
        <v>72.08026947207324</v>
      </c>
      <c r="J16" s="140">
        <v>4.9997740358901206</v>
      </c>
      <c r="K16" s="140">
        <v>6.8066971374515548</v>
      </c>
      <c r="L16" s="140">
        <v>16.113259354585075</v>
      </c>
      <c r="M16" s="141">
        <v>7.7416620340367768</v>
      </c>
      <c r="N16" s="140">
        <v>77.080043507963367</v>
      </c>
      <c r="O16" s="240">
        <f t="shared" si="0"/>
        <v>314948.96999999997</v>
      </c>
    </row>
    <row r="17" spans="1:15" s="144" customFormat="1">
      <c r="A17" s="134">
        <v>2002</v>
      </c>
      <c r="B17" s="135">
        <v>2128207</v>
      </c>
      <c r="C17" s="136">
        <v>1959318</v>
      </c>
      <c r="D17" s="137">
        <v>168889</v>
      </c>
      <c r="E17" s="138">
        <v>1519894</v>
      </c>
      <c r="F17" s="138">
        <v>118573</v>
      </c>
      <c r="G17" s="138">
        <v>167528</v>
      </c>
      <c r="H17" s="139">
        <v>322212</v>
      </c>
      <c r="I17" s="140">
        <v>71.416643211868021</v>
      </c>
      <c r="J17" s="140">
        <v>5.5714975094058055</v>
      </c>
      <c r="K17" s="140">
        <v>7.871790666979293</v>
      </c>
      <c r="L17" s="140">
        <v>15.140068611746885</v>
      </c>
      <c r="M17" s="141">
        <v>7.9357412131432703</v>
      </c>
      <c r="N17" s="140">
        <v>76.988140721273822</v>
      </c>
      <c r="O17" s="240">
        <f t="shared" si="0"/>
        <v>301466.86499999999</v>
      </c>
    </row>
    <row r="18" spans="1:15" s="144" customFormat="1">
      <c r="A18" s="134">
        <v>2003</v>
      </c>
      <c r="B18" s="135">
        <v>2182394</v>
      </c>
      <c r="C18" s="136">
        <v>2041818</v>
      </c>
      <c r="D18" s="137">
        <v>140576</v>
      </c>
      <c r="E18" s="138">
        <v>1566788</v>
      </c>
      <c r="F18" s="138">
        <v>104154</v>
      </c>
      <c r="G18" s="138">
        <v>163871</v>
      </c>
      <c r="H18" s="139">
        <v>347581</v>
      </c>
      <c r="I18" s="140">
        <v>71.792169516595081</v>
      </c>
      <c r="J18" s="140">
        <v>4.7724654668222142</v>
      </c>
      <c r="K18" s="140">
        <v>7.5087724764639194</v>
      </c>
      <c r="L18" s="140">
        <v>15.926592540118786</v>
      </c>
      <c r="M18" s="141">
        <v>6.4413666826430056</v>
      </c>
      <c r="N18" s="140">
        <v>76.564634983417292</v>
      </c>
      <c r="O18" s="240">
        <f t="shared" si="0"/>
        <v>250928.15999999997</v>
      </c>
    </row>
    <row r="19" spans="1:15" s="144" customFormat="1">
      <c r="A19" s="134">
        <v>2004</v>
      </c>
      <c r="B19" s="135">
        <v>1955514</v>
      </c>
      <c r="C19" s="136">
        <v>1859166</v>
      </c>
      <c r="D19" s="137">
        <v>96348</v>
      </c>
      <c r="E19" s="138">
        <v>1380206</v>
      </c>
      <c r="F19" s="138">
        <v>91048</v>
      </c>
      <c r="G19" s="138">
        <v>134096</v>
      </c>
      <c r="H19" s="139">
        <v>350164</v>
      </c>
      <c r="I19" s="140">
        <v>70.580215738675349</v>
      </c>
      <c r="J19" s="140">
        <v>4.6559625755683669</v>
      </c>
      <c r="K19" s="140">
        <v>6.8573275363919661</v>
      </c>
      <c r="L19" s="140">
        <v>17.90649414936431</v>
      </c>
      <c r="M19" s="141">
        <v>4.9269910621964357</v>
      </c>
      <c r="N19" s="140">
        <v>75.236178314243716</v>
      </c>
      <c r="O19" s="240">
        <f t="shared" si="0"/>
        <v>171981.18</v>
      </c>
    </row>
    <row r="20" spans="1:15" s="144" customFormat="1">
      <c r="A20" s="134">
        <v>2005</v>
      </c>
      <c r="B20" s="135">
        <v>1922645</v>
      </c>
      <c r="C20" s="136">
        <v>1820894</v>
      </c>
      <c r="D20" s="137">
        <v>101751</v>
      </c>
      <c r="E20" s="138">
        <v>1358966</v>
      </c>
      <c r="F20" s="138">
        <v>82623</v>
      </c>
      <c r="G20" s="138">
        <v>145916</v>
      </c>
      <c r="H20" s="139">
        <v>335140</v>
      </c>
      <c r="I20" s="140">
        <v>70.682107201277404</v>
      </c>
      <c r="J20" s="140">
        <v>4.2973611873226725</v>
      </c>
      <c r="K20" s="140">
        <v>7.5893365649924975</v>
      </c>
      <c r="L20" s="140">
        <v>17.431195046407424</v>
      </c>
      <c r="M20" s="141">
        <v>5.2922406372471258</v>
      </c>
      <c r="N20" s="140">
        <v>74.979468388600083</v>
      </c>
      <c r="O20" s="240">
        <f t="shared" si="0"/>
        <v>181625.535</v>
      </c>
    </row>
    <row r="21" spans="1:15" s="144" customFormat="1">
      <c r="A21" s="134">
        <v>2006</v>
      </c>
      <c r="B21" s="135">
        <v>2000098</v>
      </c>
      <c r="C21" s="136">
        <v>1893904</v>
      </c>
      <c r="D21" s="137">
        <v>106194</v>
      </c>
      <c r="E21" s="138">
        <v>1469070</v>
      </c>
      <c r="F21" s="138">
        <v>69800</v>
      </c>
      <c r="G21" s="138">
        <v>175894</v>
      </c>
      <c r="H21" s="139">
        <v>285334</v>
      </c>
      <c r="I21" s="140">
        <v>73.449900954853206</v>
      </c>
      <c r="J21" s="140">
        <v>3.4898289983790791</v>
      </c>
      <c r="K21" s="140">
        <v>8.7942690808150399</v>
      </c>
      <c r="L21" s="140">
        <v>14.266000965952669</v>
      </c>
      <c r="M21" s="141">
        <v>5.3094398374479645</v>
      </c>
      <c r="N21" s="140">
        <v>76.939729953232288</v>
      </c>
      <c r="O21" s="240">
        <f t="shared" si="0"/>
        <v>189556.28999999998</v>
      </c>
    </row>
    <row r="22" spans="1:15" s="144" customFormat="1">
      <c r="A22" s="134">
        <v>2007</v>
      </c>
      <c r="B22" s="135">
        <v>2164771</v>
      </c>
      <c r="C22" s="136">
        <v>2108471</v>
      </c>
      <c r="D22" s="137">
        <v>56300</v>
      </c>
      <c r="E22" s="138">
        <v>1562518</v>
      </c>
      <c r="F22" s="138">
        <v>87397</v>
      </c>
      <c r="G22" s="138">
        <v>196304</v>
      </c>
      <c r="H22" s="139">
        <v>318552</v>
      </c>
      <c r="I22" s="140">
        <v>72.179366778287402</v>
      </c>
      <c r="J22" s="140">
        <v>4.0372399667216534</v>
      </c>
      <c r="K22" s="140">
        <v>9.0681185215433882</v>
      </c>
      <c r="L22" s="140">
        <v>14.715274733447556</v>
      </c>
      <c r="M22" s="141">
        <v>2.6007369832652043</v>
      </c>
      <c r="N22" s="140">
        <v>76.216606745009059</v>
      </c>
      <c r="O22" s="240">
        <f t="shared" si="0"/>
        <v>100495.5</v>
      </c>
    </row>
    <row r="23" spans="1:15" s="144" customFormat="1">
      <c r="A23" s="134">
        <v>2008</v>
      </c>
      <c r="B23" s="135">
        <v>2447888</v>
      </c>
      <c r="C23" s="136">
        <f>B23-D23</f>
        <v>2349031</v>
      </c>
      <c r="D23" s="137">
        <v>98857</v>
      </c>
      <c r="E23" s="138">
        <v>1679869</v>
      </c>
      <c r="F23" s="138">
        <v>79503</v>
      </c>
      <c r="G23" s="138">
        <v>219630</v>
      </c>
      <c r="H23" s="139">
        <v>468886</v>
      </c>
      <c r="I23" s="140">
        <v>72.179366778287402</v>
      </c>
      <c r="J23" s="140">
        <v>4.0372399667216534</v>
      </c>
      <c r="K23" s="140">
        <v>9.0681185215433882</v>
      </c>
      <c r="L23" s="140">
        <v>14.715274733447556</v>
      </c>
      <c r="M23" s="141">
        <v>2.6007369832652043</v>
      </c>
      <c r="N23" s="140">
        <v>76.216606745009059</v>
      </c>
      <c r="O23" s="240">
        <f t="shared" si="0"/>
        <v>176459.745</v>
      </c>
    </row>
    <row r="24" spans="1:15" s="144" customFormat="1">
      <c r="A24" s="134">
        <v>2009</v>
      </c>
      <c r="B24" s="135">
        <v>2447889</v>
      </c>
      <c r="C24" s="136">
        <f>B24-D24</f>
        <v>2355164</v>
      </c>
      <c r="D24" s="137">
        <v>92725</v>
      </c>
      <c r="E24" s="138">
        <v>1478348</v>
      </c>
      <c r="F24" s="138">
        <v>64520</v>
      </c>
      <c r="G24" s="138">
        <v>194255</v>
      </c>
      <c r="H24" s="139">
        <v>363107</v>
      </c>
      <c r="I24" s="140">
        <v>72.179366778287402</v>
      </c>
      <c r="J24" s="140">
        <v>4.0372399667216534</v>
      </c>
      <c r="K24" s="140">
        <v>9.0681185215433882</v>
      </c>
      <c r="L24" s="140">
        <v>14.715274733447556</v>
      </c>
      <c r="M24" s="141">
        <v>2.6007369832652043</v>
      </c>
      <c r="N24" s="140">
        <v>76.216606745009059</v>
      </c>
      <c r="O24" s="240">
        <f t="shared" si="0"/>
        <v>165514.125</v>
      </c>
    </row>
    <row r="25" spans="1:15" s="144" customFormat="1">
      <c r="A25" s="134">
        <v>2010</v>
      </c>
      <c r="B25" s="135">
        <v>2070206</v>
      </c>
      <c r="C25" s="136">
        <v>1986642</v>
      </c>
      <c r="D25" s="137">
        <v>83564</v>
      </c>
      <c r="E25" s="138">
        <v>1478355</v>
      </c>
      <c r="F25" s="138">
        <v>58455</v>
      </c>
      <c r="G25" s="138">
        <v>191647</v>
      </c>
      <c r="H25" s="139">
        <v>321087</v>
      </c>
      <c r="I25" s="140">
        <v>71.411009339167208</v>
      </c>
      <c r="J25" s="140">
        <v>3.8216969712192892</v>
      </c>
      <c r="K25" s="140">
        <v>9.2573879121208229</v>
      </c>
      <c r="L25" s="140">
        <v>15.509905777492675</v>
      </c>
      <c r="M25" s="141">
        <v>4.0365065119123411</v>
      </c>
      <c r="N25" s="140">
        <v>75.232706310386504</v>
      </c>
      <c r="O25" s="240">
        <f t="shared" si="0"/>
        <v>149161.74</v>
      </c>
    </row>
    <row r="26" spans="1:15" s="144" customFormat="1">
      <c r="A26" s="134">
        <v>2011</v>
      </c>
      <c r="B26" s="135">
        <v>2380224</v>
      </c>
      <c r="C26" s="136">
        <v>2302350</v>
      </c>
      <c r="D26" s="137">
        <v>77874</v>
      </c>
      <c r="E26" s="138">
        <v>1724713</v>
      </c>
      <c r="F26" s="138">
        <v>67810</v>
      </c>
      <c r="G26" s="138">
        <v>217675</v>
      </c>
      <c r="H26" s="139">
        <v>370026</v>
      </c>
      <c r="I26" s="140">
        <v>72.460112997768277</v>
      </c>
      <c r="J26" s="140">
        <v>2.8488915328977438</v>
      </c>
      <c r="K26" s="140">
        <v>9.1451476835793599</v>
      </c>
      <c r="L26" s="140">
        <v>15.545847785754619</v>
      </c>
      <c r="M26" s="141">
        <v>3.2717088811809307</v>
      </c>
      <c r="N26" s="140">
        <v>75.309004530666016</v>
      </c>
      <c r="O26" s="240">
        <f t="shared" si="0"/>
        <v>139005.09</v>
      </c>
    </row>
    <row r="27" spans="1:15" s="144" customFormat="1">
      <c r="A27" s="134">
        <v>2012</v>
      </c>
      <c r="B27" s="135">
        <v>2548068</v>
      </c>
      <c r="C27" s="136">
        <v>2430222</v>
      </c>
      <c r="D27" s="137">
        <v>117846</v>
      </c>
      <c r="E27" s="138">
        <v>1847978</v>
      </c>
      <c r="F27" s="138">
        <v>74470</v>
      </c>
      <c r="G27" s="138">
        <v>256668</v>
      </c>
      <c r="H27" s="139">
        <v>368952</v>
      </c>
      <c r="I27" s="140">
        <v>72.524673595838095</v>
      </c>
      <c r="J27" s="140">
        <v>2.9226064610520597</v>
      </c>
      <c r="K27" s="140">
        <v>10.073043576545054</v>
      </c>
      <c r="L27" s="140">
        <v>14.479676366564787</v>
      </c>
      <c r="M27" s="141">
        <v>4.6249158185731307</v>
      </c>
      <c r="N27" s="140">
        <v>75.44728005689015</v>
      </c>
      <c r="O27" s="240">
        <f t="shared" si="0"/>
        <v>210355.11</v>
      </c>
    </row>
    <row r="28" spans="1:15" s="193" customFormat="1" ht="15.3" thickBot="1">
      <c r="A28" s="134">
        <v>2013</v>
      </c>
      <c r="B28" s="187">
        <v>2585664</v>
      </c>
      <c r="C28" s="188">
        <v>2482605</v>
      </c>
      <c r="D28" s="189">
        <v>103059</v>
      </c>
      <c r="E28" s="190">
        <v>1887175</v>
      </c>
      <c r="F28" s="190">
        <v>80984</v>
      </c>
      <c r="G28" s="190">
        <v>264382</v>
      </c>
      <c r="H28" s="191">
        <v>353123</v>
      </c>
      <c r="I28" s="192">
        <v>72.986087906239945</v>
      </c>
      <c r="J28" s="192">
        <v>3.1320388109205219</v>
      </c>
      <c r="K28" s="192">
        <v>10.224917081260365</v>
      </c>
      <c r="L28" s="192">
        <v>13.656956201579169</v>
      </c>
      <c r="M28" s="241">
        <v>3.985784695923368</v>
      </c>
      <c r="N28" s="192">
        <v>76.118126717160465</v>
      </c>
      <c r="O28" s="240">
        <f t="shared" si="0"/>
        <v>183960.315</v>
      </c>
    </row>
    <row r="29" spans="1:15" ht="15.6" thickTop="1" thickBot="1">
      <c r="A29" s="52">
        <v>2014</v>
      </c>
      <c r="B29" s="204">
        <v>2935181</v>
      </c>
      <c r="C29" s="55">
        <v>2845433</v>
      </c>
      <c r="D29" s="58">
        <v>89748</v>
      </c>
      <c r="E29" s="53">
        <v>2186609</v>
      </c>
      <c r="F29" s="53">
        <v>86491</v>
      </c>
      <c r="G29" s="53">
        <v>246209</v>
      </c>
      <c r="H29" s="57">
        <v>415872</v>
      </c>
      <c r="I29" s="56">
        <v>74.496564266394472</v>
      </c>
      <c r="J29" s="56">
        <v>2.9467007315732827</v>
      </c>
      <c r="K29" s="56">
        <v>8.3882050204058967</v>
      </c>
      <c r="L29" s="56">
        <v>14.168529981626346</v>
      </c>
      <c r="M29" s="242">
        <v>3.057664927648414</v>
      </c>
      <c r="N29" s="56">
        <v>77.443264997967759</v>
      </c>
      <c r="O29" s="240">
        <f t="shared" si="0"/>
        <v>160200.18</v>
      </c>
    </row>
    <row r="30" spans="1:15" ht="15.6" thickTop="1" thickBot="1">
      <c r="A30" s="52">
        <v>2015</v>
      </c>
      <c r="B30" s="54">
        <v>2693689</v>
      </c>
      <c r="C30" s="55">
        <v>2626618</v>
      </c>
      <c r="D30" s="213">
        <v>67071</v>
      </c>
      <c r="E30" s="214">
        <v>1953732</v>
      </c>
      <c r="F30" s="201">
        <v>85332</v>
      </c>
      <c r="G30" s="53">
        <v>207096</v>
      </c>
      <c r="H30" s="53">
        <v>447529</v>
      </c>
      <c r="I30" s="212">
        <v>72.529976548888911</v>
      </c>
      <c r="J30" s="202">
        <v>3.1678489981582874</v>
      </c>
      <c r="K30" s="56">
        <v>7.6881926606969104</v>
      </c>
      <c r="L30" s="202">
        <v>16.613981792255899</v>
      </c>
      <c r="M30" s="219">
        <v>2.4899310944953186</v>
      </c>
      <c r="N30" s="56">
        <v>75.697825547047202</v>
      </c>
      <c r="O30" s="240">
        <f t="shared" si="0"/>
        <v>119721.735</v>
      </c>
    </row>
    <row r="31" spans="1:15" ht="15.6" thickTop="1" thickBot="1">
      <c r="A31" s="224">
        <v>2016</v>
      </c>
      <c r="B31" s="223">
        <v>2457767</v>
      </c>
      <c r="C31" s="55">
        <v>2396375</v>
      </c>
      <c r="D31" s="213">
        <v>61392</v>
      </c>
      <c r="E31" s="214">
        <v>1939635</v>
      </c>
      <c r="F31" s="201">
        <v>80836</v>
      </c>
      <c r="G31" s="53">
        <v>142328</v>
      </c>
      <c r="H31" s="53">
        <v>294968</v>
      </c>
      <c r="I31" s="212">
        <v>78.918587482051791</v>
      </c>
      <c r="J31" s="202">
        <v>3.2890017646099077</v>
      </c>
      <c r="K31" s="56">
        <v>5.7909476366148622</v>
      </c>
      <c r="L31" s="202">
        <v>12.001463116723432</v>
      </c>
      <c r="M31" s="219">
        <v>2.4978771380688243</v>
      </c>
      <c r="N31" s="56">
        <v>82.207589246661698</v>
      </c>
      <c r="O31" s="240">
        <f t="shared" si="0"/>
        <v>109584.72</v>
      </c>
    </row>
    <row r="32" spans="1:15" ht="15.6" thickTop="1" thickBot="1">
      <c r="A32" s="224">
        <v>2017</v>
      </c>
      <c r="B32" s="223">
        <v>2746884</v>
      </c>
      <c r="C32" s="55">
        <v>2700905</v>
      </c>
      <c r="D32" s="213">
        <v>45979</v>
      </c>
      <c r="E32" s="214">
        <v>2145757</v>
      </c>
      <c r="F32" s="201">
        <v>86134</v>
      </c>
      <c r="G32" s="53">
        <v>165770</v>
      </c>
      <c r="H32" s="53">
        <v>349223</v>
      </c>
      <c r="I32" s="212">
        <v>78.116039847332459</v>
      </c>
      <c r="J32" s="202">
        <v>3.1356984859935841</v>
      </c>
      <c r="K32" s="56">
        <v>6.0348380200984097</v>
      </c>
      <c r="L32" s="202">
        <v>12.713423646575539</v>
      </c>
      <c r="M32" s="219">
        <v>1.6738602722211786</v>
      </c>
      <c r="N32" s="56">
        <v>81.251738333326045</v>
      </c>
      <c r="O32" s="240">
        <f>D32*1.785</f>
        <v>82072.514999999999</v>
      </c>
    </row>
    <row r="33" spans="1:15" ht="15.6" thickTop="1" thickBot="1">
      <c r="A33" s="224">
        <v>2018</v>
      </c>
      <c r="B33" s="223">
        <v>3039104</v>
      </c>
      <c r="C33" s="55">
        <v>2979744</v>
      </c>
      <c r="D33" s="213">
        <v>59360</v>
      </c>
      <c r="E33" s="214">
        <v>2366341</v>
      </c>
      <c r="F33" s="201">
        <v>84724</v>
      </c>
      <c r="G33" s="53">
        <v>176970</v>
      </c>
      <c r="H33" s="53">
        <v>381401</v>
      </c>
      <c r="I33" s="212">
        <v>77.86311360190372</v>
      </c>
      <c r="J33" s="202">
        <v>2.7877953502084827</v>
      </c>
      <c r="K33" s="56">
        <v>5.8230978604220187</v>
      </c>
      <c r="L33" s="202">
        <v>13.525993187465779</v>
      </c>
      <c r="M33" s="219">
        <v>1.9532072610874787</v>
      </c>
      <c r="N33" s="270">
        <f t="shared" ref="N33:N34" si="1">I33+J33</f>
        <v>80.650908952112204</v>
      </c>
      <c r="O33" s="240">
        <v>120458</v>
      </c>
    </row>
    <row r="34" spans="1:15" ht="15.3" thickTop="1">
      <c r="A34" s="264">
        <v>2019</v>
      </c>
      <c r="B34" s="265">
        <v>2600062</v>
      </c>
      <c r="C34" s="266">
        <v>2563441</v>
      </c>
      <c r="D34" s="267">
        <v>36621</v>
      </c>
      <c r="E34" s="265">
        <v>2003305</v>
      </c>
      <c r="F34" s="265">
        <v>75851</v>
      </c>
      <c r="G34" s="268">
        <v>184460</v>
      </c>
      <c r="H34" s="268">
        <v>336446</v>
      </c>
      <c r="I34" s="269">
        <v>77.090155658425232</v>
      </c>
      <c r="J34" s="269">
        <v>2.9119635013125738</v>
      </c>
      <c r="K34" s="270">
        <v>7.0815254571741617</v>
      </c>
      <c r="L34" s="269">
        <v>12.91635538308803</v>
      </c>
      <c r="M34" s="271">
        <v>1.4059012456205953</v>
      </c>
      <c r="N34" s="270">
        <f t="shared" si="1"/>
        <v>80.002119159737802</v>
      </c>
      <c r="O34" s="272">
        <v>73242</v>
      </c>
    </row>
    <row r="35" spans="1:15">
      <c r="A35" s="264">
        <v>2020</v>
      </c>
      <c r="B35" s="265">
        <v>2793869</v>
      </c>
      <c r="C35" s="266">
        <v>2749584</v>
      </c>
      <c r="D35" s="267">
        <v>44285</v>
      </c>
      <c r="E35" s="265">
        <v>2212523</v>
      </c>
      <c r="F35" s="265">
        <v>72527</v>
      </c>
      <c r="G35" s="268">
        <v>156893</v>
      </c>
      <c r="H35" s="268">
        <v>351926</v>
      </c>
      <c r="I35" s="269">
        <v>79.192080945813842</v>
      </c>
      <c r="J35" s="269">
        <v>2.5959341687101292</v>
      </c>
      <c r="K35" s="270">
        <v>5.6156176255937558</v>
      </c>
      <c r="L35" s="269">
        <v>12.596367259882262</v>
      </c>
      <c r="M35" s="271">
        <v>1.585077897353097</v>
      </c>
      <c r="N35" s="270">
        <f>I35+J35</f>
        <v>81.788015114523972</v>
      </c>
      <c r="O35" s="272">
        <v>88570</v>
      </c>
    </row>
    <row r="36" spans="1:15">
      <c r="E36" s="186" t="s">
        <v>24</v>
      </c>
    </row>
  </sheetData>
  <mergeCells count="1">
    <mergeCell ref="J2:M2"/>
  </mergeCells>
  <phoneticPr fontId="37" type="noConversion"/>
  <pageMargins left="0.25" right="0.25" top="0.75" bottom="0.75" header="0.3" footer="0.3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Kalk gesamt D</vt:lpstr>
      <vt:lpstr>Daten lfd. CaO Detail</vt:lpstr>
      <vt:lpstr>Daten Jahre Kalktypen</vt:lpstr>
      <vt:lpstr>Tabelle1</vt:lpstr>
      <vt:lpstr>Grafik Kalk Quartale</vt:lpstr>
      <vt:lpstr>Grafik Kalktyen-Anteile</vt:lpstr>
      <vt:lpstr>Grafik Waldkalkung 2004-2018</vt:lpstr>
      <vt:lpstr>Waldkalkung D 1990-2018 t Ware</vt:lpstr>
      <vt:lpstr>Grafik K-K </vt:lpstr>
      <vt:lpstr>Grafik BK</vt:lpstr>
      <vt:lpstr>'Daten lfd. CaO Detail'!Druckbereich</vt:lpstr>
      <vt:lpstr>'Daten lfd. CaO Detail'!Drucktitel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lfd._Kal</dc:title>
  <dc:subject>lfd monatl. Aufrechnung d. amtl. Statistik im Kalenderjahr</dc:subject>
  <dc:creator>Pollehn</dc:creator>
  <cp:lastModifiedBy>Müller, Dr. Reinhard</cp:lastModifiedBy>
  <cp:lastPrinted>2017-03-02T09:33:45Z</cp:lastPrinted>
  <dcterms:created xsi:type="dcterms:W3CDTF">1999-01-14T10:13:20Z</dcterms:created>
  <dcterms:modified xsi:type="dcterms:W3CDTF">2021-05-11T09:23:39Z</dcterms:modified>
</cp:coreProperties>
</file>